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eoria" sheetId="1" r:id="rId1"/>
    <sheet name="Prácticas" sheetId="2" r:id="rId2"/>
    <sheet name="TareasProgramadas" sheetId="3" r:id="rId3"/>
    <sheet name="Proyecto" sheetId="4" r:id="rId4"/>
    <sheet name="DV-IDENTITY-0" sheetId="5" state="hidden" r:id="rId5"/>
  </sheets>
  <definedNames>
    <definedName name="Excel_BuiltIn__FilterDatabase">'Teoria'!$A$8:$L$29</definedName>
  </definedNames>
  <calcPr fullCalcOnLoad="1"/>
</workbook>
</file>

<file path=xl/sharedStrings.xml><?xml version="1.0" encoding="utf-8"?>
<sst xmlns="http://schemas.openxmlformats.org/spreadsheetml/2006/main" count="147" uniqueCount="64">
  <si>
    <t>CI-0101   Introducción al Procesamiento en Microcomputadoras</t>
  </si>
  <si>
    <t>Prof. Kryscia Daviana Ramírez Benavides</t>
  </si>
  <si>
    <t>Asist. Paola Delgado Rojas</t>
  </si>
  <si>
    <t>Ciclo Lectivo II-2011</t>
  </si>
  <si>
    <t>Grupo 04</t>
  </si>
  <si>
    <t>Registro de Calificaciones</t>
  </si>
  <si>
    <t>Carné</t>
  </si>
  <si>
    <t>Prácticas</t>
  </si>
  <si>
    <t>% Prácticas</t>
  </si>
  <si>
    <t>Tareas Prog.</t>
  </si>
  <si>
    <t>% Tareas Prog.</t>
  </si>
  <si>
    <t>I Parcial</t>
  </si>
  <si>
    <t>II Parcial</t>
  </si>
  <si>
    <t>III Parcial</t>
  </si>
  <si>
    <t>% Examenes</t>
  </si>
  <si>
    <t>Nota</t>
  </si>
  <si>
    <t>Nota Final</t>
  </si>
  <si>
    <t>Condicción</t>
  </si>
  <si>
    <t>A90540</t>
  </si>
  <si>
    <t>B10576</t>
  </si>
  <si>
    <t>B10781</t>
  </si>
  <si>
    <t>B10930</t>
  </si>
  <si>
    <t>A40982</t>
  </si>
  <si>
    <t>B02383</t>
  </si>
  <si>
    <t>A83062</t>
  </si>
  <si>
    <t>B13475</t>
  </si>
  <si>
    <t>A53014</t>
  </si>
  <si>
    <t>B13655</t>
  </si>
  <si>
    <t>B15225</t>
  </si>
  <si>
    <t>B15231</t>
  </si>
  <si>
    <t>B15552</t>
  </si>
  <si>
    <t>728192</t>
  </si>
  <si>
    <t>B05525</t>
  </si>
  <si>
    <t>742321</t>
  </si>
  <si>
    <t>B15908</t>
  </si>
  <si>
    <t>B16156</t>
  </si>
  <si>
    <t>A96194</t>
  </si>
  <si>
    <t>A65952</t>
  </si>
  <si>
    <t>A66028</t>
  </si>
  <si>
    <t>Prácticas (Quices y Tareas)</t>
  </si>
  <si>
    <t>P1_PT</t>
  </si>
  <si>
    <t>P2_PT</t>
  </si>
  <si>
    <t>P3_PT</t>
  </si>
  <si>
    <t>PE_PT</t>
  </si>
  <si>
    <t>P1_HC</t>
  </si>
  <si>
    <t>P2_HC</t>
  </si>
  <si>
    <t>P3_HC</t>
  </si>
  <si>
    <t>P4_HC</t>
  </si>
  <si>
    <t>PE_HC</t>
  </si>
  <si>
    <t>P1_BD</t>
  </si>
  <si>
    <t>P2_BD</t>
  </si>
  <si>
    <t>PE_BD</t>
  </si>
  <si>
    <t>P1_PD</t>
  </si>
  <si>
    <t>PE_PD</t>
  </si>
  <si>
    <t>Promedio</t>
  </si>
  <si>
    <t>Tareas Programadas</t>
  </si>
  <si>
    <t>Tarea 1</t>
  </si>
  <si>
    <t>Tarea 2</t>
  </si>
  <si>
    <t>Tarea 3</t>
  </si>
  <si>
    <t>Tarea4</t>
  </si>
  <si>
    <t>Proyecto</t>
  </si>
  <si>
    <t>Exposición</t>
  </si>
  <si>
    <t>Presentación con Diapositivas</t>
  </si>
  <si>
    <t>AAAAAEnxtEE=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</si>
</sst>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37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38" borderId="14" xfId="0" applyNumberFormat="1" applyFont="1" applyFill="1" applyBorder="1" applyAlignment="1">
      <alignment horizontal="center"/>
    </xf>
    <xf numFmtId="2" fontId="5" fillId="38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7" sqref="D37"/>
    </sheetView>
  </sheetViews>
  <sheetFormatPr defaultColWidth="11.421875" defaultRowHeight="12.75"/>
  <cols>
    <col min="1" max="1" width="8.7109375" style="1" customWidth="1"/>
    <col min="2" max="11" width="12.7109375" style="1" customWidth="1"/>
    <col min="12" max="12" width="13.7109375" style="1" customWidth="1"/>
    <col min="13" max="13" width="26.00390625" style="0" customWidth="1"/>
  </cols>
  <sheetData>
    <row r="1" spans="1:12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7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9" ht="12.75">
      <c r="A7" s="2"/>
      <c r="B7" s="3"/>
      <c r="C7" s="3"/>
      <c r="D7" s="4"/>
      <c r="E7" s="4"/>
      <c r="F7" s="4"/>
      <c r="G7" s="4"/>
      <c r="H7" s="4"/>
      <c r="I7" s="4"/>
    </row>
    <row r="8" spans="1:13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6"/>
    </row>
    <row r="9" spans="1:13" ht="12.75">
      <c r="A9" s="7" t="s">
        <v>18</v>
      </c>
      <c r="B9" s="8">
        <f ca="1">CELL("contenido",Prácticas!P9)</f>
        <v>0</v>
      </c>
      <c r="C9" s="9">
        <f>B9*0.1</f>
        <v>0</v>
      </c>
      <c r="D9" s="8">
        <f ca="1">CELL("CONTENIDO",TareasProgramadas!F9)</f>
        <v>0</v>
      </c>
      <c r="E9" s="9">
        <f>D9*0.25</f>
        <v>0</v>
      </c>
      <c r="F9" s="10">
        <v>0</v>
      </c>
      <c r="G9" s="10">
        <v>0</v>
      </c>
      <c r="H9" s="10">
        <v>0</v>
      </c>
      <c r="I9" s="9">
        <f>F9*0.15+G9*0.25+H9*0.25</f>
        <v>0</v>
      </c>
      <c r="J9" s="11">
        <f>SUM(C9,E9,I9)</f>
        <v>0</v>
      </c>
      <c r="K9" s="12">
        <f aca="true" t="shared" si="0" ref="K9:K29">IF(((J9*0.1)-INT(J9*0.1))&gt;=0.25,IF(((J9*0.1)-INT(J9*0.1))&lt;=0.5,CEILING(J9,5),IF(((J9*0.1)-INT(J9*0.1))&gt;=0.75,CEILING(J9,5),FLOOR(J9,5))),FLOOR(J9,5))</f>
        <v>0</v>
      </c>
      <c r="L9" s="12" t="str">
        <f aca="true" t="shared" si="1" ref="L9:L29">IF(K9&gt;=67.5,"APROBADO",IF(K9&gt;=57.5,"AMPLIACION","REPROBADO"))</f>
        <v>REPROBADO</v>
      </c>
      <c r="M9" s="13"/>
    </row>
    <row r="10" spans="1:13" ht="12.75">
      <c r="A10" s="7" t="s">
        <v>19</v>
      </c>
      <c r="B10" s="8">
        <f ca="1">CELL("contenido",Prácticas!P10)</f>
        <v>80.3025974025974</v>
      </c>
      <c r="C10" s="9">
        <f aca="true" t="shared" si="2" ref="C10:C29">B10*0.1</f>
        <v>8.03025974025974</v>
      </c>
      <c r="D10" s="8">
        <f ca="1">CELL("CONTENIDO",TareasProgramadas!F10)</f>
        <v>78</v>
      </c>
      <c r="E10" s="9">
        <f aca="true" t="shared" si="3" ref="E10:E29">D10*0.25</f>
        <v>19.5</v>
      </c>
      <c r="F10" s="10">
        <v>100</v>
      </c>
      <c r="G10" s="10">
        <v>84</v>
      </c>
      <c r="H10" s="10">
        <v>97</v>
      </c>
      <c r="I10" s="9">
        <f aca="true" t="shared" si="4" ref="I10:I29">F10*0.15+G10*0.25+H10*0.25</f>
        <v>60.25</v>
      </c>
      <c r="J10" s="11">
        <f aca="true" t="shared" si="5" ref="J10:J29">SUM(C10,E10,I10)</f>
        <v>87.78025974025974</v>
      </c>
      <c r="K10" s="12">
        <f t="shared" si="0"/>
        <v>90</v>
      </c>
      <c r="L10" s="12" t="str">
        <f t="shared" si="1"/>
        <v>APROBADO</v>
      </c>
      <c r="M10" s="13"/>
    </row>
    <row r="11" spans="1:13" ht="12.75">
      <c r="A11" s="7" t="s">
        <v>20</v>
      </c>
      <c r="B11" s="8">
        <f ca="1">CELL("contenido",Prácticas!P11)</f>
        <v>54.207523191094616</v>
      </c>
      <c r="C11" s="9">
        <f t="shared" si="2"/>
        <v>5.420752319109462</v>
      </c>
      <c r="D11" s="8">
        <f ca="1">CELL("CONTENIDO",TareasProgramadas!F11)</f>
        <v>74.6</v>
      </c>
      <c r="E11" s="9">
        <f t="shared" si="3"/>
        <v>18.65</v>
      </c>
      <c r="F11" s="10">
        <v>99</v>
      </c>
      <c r="G11" s="10">
        <v>100</v>
      </c>
      <c r="H11" s="10">
        <v>90</v>
      </c>
      <c r="I11" s="9">
        <f t="shared" si="4"/>
        <v>62.35</v>
      </c>
      <c r="J11" s="11">
        <f t="shared" si="5"/>
        <v>86.42075231910945</v>
      </c>
      <c r="K11" s="12">
        <f t="shared" si="0"/>
        <v>85</v>
      </c>
      <c r="L11" s="12" t="str">
        <f t="shared" si="1"/>
        <v>APROBADO</v>
      </c>
      <c r="M11" s="13"/>
    </row>
    <row r="12" spans="1:13" ht="12.75">
      <c r="A12" s="7" t="s">
        <v>21</v>
      </c>
      <c r="B12" s="8">
        <f ca="1">CELL("contenido",Prácticas!P12)</f>
        <v>75.81558441558442</v>
      </c>
      <c r="C12" s="9">
        <f t="shared" si="2"/>
        <v>7.5815584415584425</v>
      </c>
      <c r="D12" s="8">
        <f ca="1">CELL("CONTENIDO",TareasProgramadas!F12)</f>
        <v>66.2</v>
      </c>
      <c r="E12" s="9">
        <f t="shared" si="3"/>
        <v>16.55</v>
      </c>
      <c r="F12" s="10">
        <v>78</v>
      </c>
      <c r="G12" s="10">
        <v>44</v>
      </c>
      <c r="H12" s="10">
        <v>86</v>
      </c>
      <c r="I12" s="9">
        <f t="shared" si="4"/>
        <v>44.2</v>
      </c>
      <c r="J12" s="11">
        <f t="shared" si="5"/>
        <v>68.33155844155844</v>
      </c>
      <c r="K12" s="12">
        <f t="shared" si="0"/>
        <v>70</v>
      </c>
      <c r="L12" s="12" t="str">
        <f t="shared" si="1"/>
        <v>APROBADO</v>
      </c>
      <c r="M12" s="13"/>
    </row>
    <row r="13" spans="1:13" ht="12.75">
      <c r="A13" s="7" t="s">
        <v>22</v>
      </c>
      <c r="B13" s="8">
        <f ca="1">CELL("contenido",Prácticas!P13)</f>
        <v>81.35064935064936</v>
      </c>
      <c r="C13" s="9">
        <f t="shared" si="2"/>
        <v>8.135064935064937</v>
      </c>
      <c r="D13" s="8">
        <f ca="1">CELL("CONTENIDO",TareasProgramadas!F13)</f>
        <v>70</v>
      </c>
      <c r="E13" s="9">
        <f t="shared" si="3"/>
        <v>17.5</v>
      </c>
      <c r="F13" s="10">
        <v>100</v>
      </c>
      <c r="G13" s="10">
        <v>100</v>
      </c>
      <c r="H13" s="10">
        <v>100</v>
      </c>
      <c r="I13" s="9">
        <f t="shared" si="4"/>
        <v>65</v>
      </c>
      <c r="J13" s="11">
        <f t="shared" si="5"/>
        <v>90.63506493506495</v>
      </c>
      <c r="K13" s="12">
        <f t="shared" si="0"/>
        <v>90</v>
      </c>
      <c r="L13" s="12" t="str">
        <f t="shared" si="1"/>
        <v>APROBADO</v>
      </c>
      <c r="M13" s="13"/>
    </row>
    <row r="14" spans="1:13" ht="12.75">
      <c r="A14" s="7" t="s">
        <v>23</v>
      </c>
      <c r="B14" s="8">
        <f ca="1">CELL("contenido",Prácticas!P14)</f>
        <v>88.22409090909092</v>
      </c>
      <c r="C14" s="9">
        <f t="shared" si="2"/>
        <v>8.822409090909092</v>
      </c>
      <c r="D14" s="8">
        <f ca="1">CELL("CONTENIDO",TareasProgramadas!F14)</f>
        <v>74.2</v>
      </c>
      <c r="E14" s="9">
        <f t="shared" si="3"/>
        <v>18.55</v>
      </c>
      <c r="F14" s="10">
        <v>86</v>
      </c>
      <c r="G14" s="10">
        <v>96</v>
      </c>
      <c r="H14" s="10">
        <v>76</v>
      </c>
      <c r="I14" s="9">
        <f t="shared" si="4"/>
        <v>55.9</v>
      </c>
      <c r="J14" s="11">
        <f t="shared" si="5"/>
        <v>83.2724090909091</v>
      </c>
      <c r="K14" s="12">
        <f t="shared" si="0"/>
        <v>85</v>
      </c>
      <c r="L14" s="12" t="str">
        <f t="shared" si="1"/>
        <v>APROBADO</v>
      </c>
      <c r="M14" s="13"/>
    </row>
    <row r="15" spans="1:12" ht="12.75">
      <c r="A15" s="7" t="s">
        <v>24</v>
      </c>
      <c r="B15" s="8">
        <f ca="1">CELL("contenido",Prácticas!P15)</f>
        <v>0</v>
      </c>
      <c r="C15" s="9">
        <f t="shared" si="2"/>
        <v>0</v>
      </c>
      <c r="D15" s="8">
        <f ca="1">CELL("CONTENIDO",TareasProgramadas!F15)</f>
        <v>0</v>
      </c>
      <c r="E15" s="9">
        <f t="shared" si="3"/>
        <v>0</v>
      </c>
      <c r="F15" s="10">
        <v>0</v>
      </c>
      <c r="G15" s="10">
        <v>0</v>
      </c>
      <c r="H15" s="10">
        <v>0</v>
      </c>
      <c r="I15" s="9">
        <f t="shared" si="4"/>
        <v>0</v>
      </c>
      <c r="J15" s="11">
        <f t="shared" si="5"/>
        <v>0</v>
      </c>
      <c r="K15" s="12">
        <f t="shared" si="0"/>
        <v>0</v>
      </c>
      <c r="L15" s="12" t="str">
        <f t="shared" si="1"/>
        <v>REPROBADO</v>
      </c>
    </row>
    <row r="16" spans="1:12" ht="12.75">
      <c r="A16" s="7" t="s">
        <v>25</v>
      </c>
      <c r="B16" s="8">
        <f ca="1">CELL("contenido",Prácticas!P16)</f>
        <v>82.14902597402599</v>
      </c>
      <c r="C16" s="9">
        <f t="shared" si="2"/>
        <v>8.214902597402599</v>
      </c>
      <c r="D16" s="8">
        <f ca="1">CELL("CONTENIDO",TareasProgramadas!F16)</f>
        <v>55.00000000000001</v>
      </c>
      <c r="E16" s="9">
        <f t="shared" si="3"/>
        <v>13.750000000000002</v>
      </c>
      <c r="F16" s="10">
        <v>91</v>
      </c>
      <c r="G16" s="10">
        <v>77</v>
      </c>
      <c r="H16" s="10">
        <v>99</v>
      </c>
      <c r="I16" s="9">
        <f t="shared" si="4"/>
        <v>57.65</v>
      </c>
      <c r="J16" s="11">
        <f t="shared" si="5"/>
        <v>79.61490259740259</v>
      </c>
      <c r="K16" s="12">
        <f t="shared" si="0"/>
        <v>80</v>
      </c>
      <c r="L16" s="12" t="str">
        <f t="shared" si="1"/>
        <v>APROBADO</v>
      </c>
    </row>
    <row r="17" spans="1:13" ht="12.75">
      <c r="A17" s="7" t="s">
        <v>26</v>
      </c>
      <c r="B17" s="8">
        <f ca="1">CELL("contenido",Prácticas!P17)</f>
        <v>67.72045454545454</v>
      </c>
      <c r="C17" s="9">
        <f t="shared" si="2"/>
        <v>6.772045454545455</v>
      </c>
      <c r="D17" s="8">
        <f ca="1">CELL("CONTENIDO",TareasProgramadas!F17)</f>
        <v>46.400000000000006</v>
      </c>
      <c r="E17" s="9">
        <f t="shared" si="3"/>
        <v>11.600000000000001</v>
      </c>
      <c r="F17" s="10">
        <v>79</v>
      </c>
      <c r="G17" s="10">
        <v>94</v>
      </c>
      <c r="H17" s="10">
        <v>92</v>
      </c>
      <c r="I17" s="9">
        <f t="shared" si="4"/>
        <v>58.35</v>
      </c>
      <c r="J17" s="11">
        <f t="shared" si="5"/>
        <v>76.72204545454545</v>
      </c>
      <c r="K17" s="12">
        <f t="shared" si="0"/>
        <v>75</v>
      </c>
      <c r="L17" s="12" t="str">
        <f t="shared" si="1"/>
        <v>APROBADO</v>
      </c>
      <c r="M17" s="13"/>
    </row>
    <row r="18" spans="1:13" ht="12.75">
      <c r="A18" s="7" t="s">
        <v>27</v>
      </c>
      <c r="B18" s="8">
        <f ca="1">CELL("contenido",Prácticas!P18)</f>
        <v>80.17551020408165</v>
      </c>
      <c r="C18" s="9">
        <f t="shared" si="2"/>
        <v>8.017551020408165</v>
      </c>
      <c r="D18" s="8">
        <f ca="1">CELL("CONTENIDO",TareasProgramadas!F18)</f>
        <v>68.60000000000001</v>
      </c>
      <c r="E18" s="9">
        <f t="shared" si="3"/>
        <v>17.150000000000002</v>
      </c>
      <c r="F18" s="10">
        <v>77</v>
      </c>
      <c r="G18" s="10">
        <v>91</v>
      </c>
      <c r="H18" s="10">
        <v>93</v>
      </c>
      <c r="I18" s="9">
        <f t="shared" si="4"/>
        <v>57.55</v>
      </c>
      <c r="J18" s="11">
        <f t="shared" si="5"/>
        <v>82.71755102040817</v>
      </c>
      <c r="K18" s="12">
        <f t="shared" si="0"/>
        <v>85</v>
      </c>
      <c r="L18" s="12" t="str">
        <f t="shared" si="1"/>
        <v>APROBADO</v>
      </c>
      <c r="M18" s="13"/>
    </row>
    <row r="19" spans="1:13" ht="12.75">
      <c r="A19" s="7" t="s">
        <v>28</v>
      </c>
      <c r="B19" s="8">
        <f ca="1">CELL("contenido",Prácticas!P19)</f>
        <v>64.7756957328386</v>
      </c>
      <c r="C19" s="9">
        <f t="shared" si="2"/>
        <v>6.47756957328386</v>
      </c>
      <c r="D19" s="8">
        <f ca="1">CELL("CONTENIDO",TareasProgramadas!F19)</f>
        <v>49.800000000000004</v>
      </c>
      <c r="E19" s="9">
        <f t="shared" si="3"/>
        <v>12.450000000000001</v>
      </c>
      <c r="F19" s="10">
        <v>74</v>
      </c>
      <c r="G19" s="10">
        <v>90</v>
      </c>
      <c r="H19" s="10">
        <v>90</v>
      </c>
      <c r="I19" s="9">
        <f t="shared" si="4"/>
        <v>56.1</v>
      </c>
      <c r="J19" s="11">
        <f t="shared" si="5"/>
        <v>75.02756957328387</v>
      </c>
      <c r="K19" s="12">
        <f t="shared" si="0"/>
        <v>75</v>
      </c>
      <c r="L19" s="12" t="str">
        <f t="shared" si="1"/>
        <v>APROBADO</v>
      </c>
      <c r="M19" s="13"/>
    </row>
    <row r="20" spans="1:12" ht="12.75">
      <c r="A20" s="7" t="s">
        <v>29</v>
      </c>
      <c r="B20" s="8">
        <f ca="1">CELL("contenido",Prácticas!P20)</f>
        <v>82.92207792207793</v>
      </c>
      <c r="C20" s="9">
        <f t="shared" si="2"/>
        <v>8.292207792207794</v>
      </c>
      <c r="D20" s="8">
        <f ca="1">CELL("CONTENIDO",TareasProgramadas!F20)</f>
        <v>69.80000000000001</v>
      </c>
      <c r="E20" s="9">
        <f t="shared" si="3"/>
        <v>17.450000000000003</v>
      </c>
      <c r="F20" s="10">
        <v>92</v>
      </c>
      <c r="G20" s="10">
        <v>94</v>
      </c>
      <c r="H20" s="10">
        <v>98</v>
      </c>
      <c r="I20" s="9">
        <f t="shared" si="4"/>
        <v>61.8</v>
      </c>
      <c r="J20" s="11">
        <f t="shared" si="5"/>
        <v>87.54220779220779</v>
      </c>
      <c r="K20" s="12">
        <f t="shared" si="0"/>
        <v>90</v>
      </c>
      <c r="L20" s="12" t="str">
        <f t="shared" si="1"/>
        <v>APROBADO</v>
      </c>
    </row>
    <row r="21" spans="1:13" ht="12.75">
      <c r="A21" s="7" t="s">
        <v>30</v>
      </c>
      <c r="B21" s="8">
        <f ca="1">CELL("contenido",Prácticas!P21)</f>
        <v>89.75602968460112</v>
      </c>
      <c r="C21" s="9">
        <f t="shared" si="2"/>
        <v>8.975602968460112</v>
      </c>
      <c r="D21" s="8">
        <f ca="1">CELL("CONTENIDO",TareasProgramadas!F21)</f>
        <v>71.4</v>
      </c>
      <c r="E21" s="9">
        <f t="shared" si="3"/>
        <v>17.85</v>
      </c>
      <c r="F21" s="10">
        <v>100</v>
      </c>
      <c r="G21" s="10">
        <v>100</v>
      </c>
      <c r="H21" s="10">
        <v>98</v>
      </c>
      <c r="I21" s="9">
        <f t="shared" si="4"/>
        <v>64.5</v>
      </c>
      <c r="J21" s="11">
        <f t="shared" si="5"/>
        <v>91.32560296846012</v>
      </c>
      <c r="K21" s="12">
        <f t="shared" si="0"/>
        <v>90</v>
      </c>
      <c r="L21" s="12" t="str">
        <f t="shared" si="1"/>
        <v>APROBADO</v>
      </c>
      <c r="M21" s="13"/>
    </row>
    <row r="22" spans="1:12" ht="12.75">
      <c r="A22" s="7" t="s">
        <v>31</v>
      </c>
      <c r="B22" s="8">
        <f ca="1">CELL("contenido",Prácticas!P22)</f>
        <v>0</v>
      </c>
      <c r="C22" s="9">
        <f t="shared" si="2"/>
        <v>0</v>
      </c>
      <c r="D22" s="8">
        <f ca="1">CELL("CONTENIDO",TareasProgramadas!F22)</f>
        <v>0</v>
      </c>
      <c r="E22" s="9">
        <f t="shared" si="3"/>
        <v>0</v>
      </c>
      <c r="F22" s="10">
        <v>41</v>
      </c>
      <c r="G22" s="10">
        <v>0</v>
      </c>
      <c r="H22" s="10">
        <v>0</v>
      </c>
      <c r="I22" s="9">
        <f t="shared" si="4"/>
        <v>6.1499999999999995</v>
      </c>
      <c r="J22" s="11">
        <f t="shared" si="5"/>
        <v>6.1499999999999995</v>
      </c>
      <c r="K22" s="12">
        <f t="shared" si="0"/>
        <v>5</v>
      </c>
      <c r="L22" s="12" t="str">
        <f t="shared" si="1"/>
        <v>REPROBADO</v>
      </c>
    </row>
    <row r="23" spans="1:13" ht="12.75">
      <c r="A23" s="7" t="s">
        <v>32</v>
      </c>
      <c r="B23" s="8">
        <f ca="1">CELL("contenido",Prácticas!P23)</f>
        <v>17.87035714285714</v>
      </c>
      <c r="C23" s="9">
        <f t="shared" si="2"/>
        <v>1.7870357142857143</v>
      </c>
      <c r="D23" s="8">
        <f ca="1">CELL("CONTENIDO",TareasProgramadas!F23)</f>
        <v>28.200000000000003</v>
      </c>
      <c r="E23" s="9">
        <f t="shared" si="3"/>
        <v>7.050000000000001</v>
      </c>
      <c r="F23" s="10">
        <v>61</v>
      </c>
      <c r="G23" s="10">
        <v>13</v>
      </c>
      <c r="H23" s="10">
        <v>0</v>
      </c>
      <c r="I23" s="9">
        <f t="shared" si="4"/>
        <v>12.4</v>
      </c>
      <c r="J23" s="11">
        <f t="shared" si="5"/>
        <v>21.237035714285717</v>
      </c>
      <c r="K23" s="12">
        <f t="shared" si="0"/>
        <v>20</v>
      </c>
      <c r="L23" s="12" t="str">
        <f t="shared" si="1"/>
        <v>REPROBADO</v>
      </c>
      <c r="M23" s="13"/>
    </row>
    <row r="24" spans="1:12" ht="12.75">
      <c r="A24" s="7" t="s">
        <v>33</v>
      </c>
      <c r="B24" s="8">
        <f ca="1">CELL("contenido",Prácticas!P24)</f>
        <v>33.34879406307978</v>
      </c>
      <c r="C24" s="9">
        <f t="shared" si="2"/>
        <v>3.3348794063079783</v>
      </c>
      <c r="D24" s="8">
        <f ca="1">CELL("CONTENIDO",TareasProgramadas!F24)</f>
        <v>12.600000000000001</v>
      </c>
      <c r="E24" s="9">
        <f t="shared" si="3"/>
        <v>3.1500000000000004</v>
      </c>
      <c r="F24" s="10">
        <v>15</v>
      </c>
      <c r="G24" s="10">
        <v>13</v>
      </c>
      <c r="H24" s="10">
        <v>0</v>
      </c>
      <c r="I24" s="9">
        <f t="shared" si="4"/>
        <v>5.5</v>
      </c>
      <c r="J24" s="11">
        <f t="shared" si="5"/>
        <v>11.984879406307979</v>
      </c>
      <c r="K24" s="12">
        <f t="shared" si="0"/>
        <v>10</v>
      </c>
      <c r="L24" s="12" t="str">
        <f t="shared" si="1"/>
        <v>REPROBADO</v>
      </c>
    </row>
    <row r="25" spans="1:13" ht="12.75">
      <c r="A25" s="7" t="s">
        <v>34</v>
      </c>
      <c r="B25" s="8">
        <f ca="1">CELL("contenido",Prácticas!P25)</f>
        <v>66.90454545454546</v>
      </c>
      <c r="C25" s="9">
        <f t="shared" si="2"/>
        <v>6.690454545454546</v>
      </c>
      <c r="D25" s="8">
        <f ca="1">CELL("CONTENIDO",TareasProgramadas!F25)</f>
        <v>55.400000000000006</v>
      </c>
      <c r="E25" s="9">
        <f t="shared" si="3"/>
        <v>13.850000000000001</v>
      </c>
      <c r="F25" s="10">
        <v>95</v>
      </c>
      <c r="G25" s="10">
        <v>90</v>
      </c>
      <c r="H25" s="10">
        <v>85</v>
      </c>
      <c r="I25" s="9">
        <f t="shared" si="4"/>
        <v>58</v>
      </c>
      <c r="J25" s="11">
        <f t="shared" si="5"/>
        <v>78.54045454545455</v>
      </c>
      <c r="K25" s="12">
        <f t="shared" si="0"/>
        <v>80</v>
      </c>
      <c r="L25" s="12" t="str">
        <f t="shared" si="1"/>
        <v>APROBADO</v>
      </c>
      <c r="M25" s="13"/>
    </row>
    <row r="26" spans="1:12" ht="12.75">
      <c r="A26" s="7" t="s">
        <v>35</v>
      </c>
      <c r="B26" s="8">
        <f ca="1">CELL("contenido",Prácticas!P26)</f>
        <v>67.0352504638219</v>
      </c>
      <c r="C26" s="9">
        <f t="shared" si="2"/>
        <v>6.70352504638219</v>
      </c>
      <c r="D26" s="8">
        <f ca="1">CELL("CONTENIDO",TareasProgramadas!F26)</f>
        <v>71.2</v>
      </c>
      <c r="E26" s="9">
        <f t="shared" si="3"/>
        <v>17.8</v>
      </c>
      <c r="F26" s="10">
        <v>96</v>
      </c>
      <c r="G26" s="10">
        <v>89</v>
      </c>
      <c r="H26" s="10">
        <v>96</v>
      </c>
      <c r="I26" s="9">
        <f t="shared" si="4"/>
        <v>60.65</v>
      </c>
      <c r="J26" s="11">
        <f t="shared" si="5"/>
        <v>85.15352504638219</v>
      </c>
      <c r="K26" s="12">
        <f t="shared" si="0"/>
        <v>85</v>
      </c>
      <c r="L26" s="12" t="str">
        <f t="shared" si="1"/>
        <v>APROBADO</v>
      </c>
    </row>
    <row r="27" spans="1:13" ht="12.75">
      <c r="A27" s="7" t="s">
        <v>36</v>
      </c>
      <c r="B27" s="8">
        <f ca="1">CELL("contenido",Prácticas!P27)</f>
        <v>67.01252319109462</v>
      </c>
      <c r="C27" s="9">
        <f t="shared" si="2"/>
        <v>6.701252319109462</v>
      </c>
      <c r="D27" s="8">
        <f ca="1">CELL("CONTENIDO",TareasProgramadas!F27)</f>
        <v>75.2</v>
      </c>
      <c r="E27" s="9">
        <f t="shared" si="3"/>
        <v>18.8</v>
      </c>
      <c r="F27" s="10">
        <v>96</v>
      </c>
      <c r="G27" s="10">
        <v>99</v>
      </c>
      <c r="H27" s="10">
        <v>74</v>
      </c>
      <c r="I27" s="9">
        <f t="shared" si="4"/>
        <v>57.65</v>
      </c>
      <c r="J27" s="11">
        <f t="shared" si="5"/>
        <v>83.15125231910946</v>
      </c>
      <c r="K27" s="12">
        <f t="shared" si="0"/>
        <v>85</v>
      </c>
      <c r="L27" s="12" t="str">
        <f t="shared" si="1"/>
        <v>APROBADO</v>
      </c>
      <c r="M27" s="13"/>
    </row>
    <row r="28" spans="1:13" ht="12.75">
      <c r="A28" s="7" t="s">
        <v>37</v>
      </c>
      <c r="B28" s="8">
        <f ca="1">CELL("contenido",Prácticas!P28)</f>
        <v>14.142857142857142</v>
      </c>
      <c r="C28" s="9">
        <f t="shared" si="2"/>
        <v>1.4142857142857144</v>
      </c>
      <c r="D28" s="8">
        <f ca="1">CELL("CONTENIDO",TareasProgramadas!F28)</f>
        <v>19.400000000000002</v>
      </c>
      <c r="E28" s="9">
        <f t="shared" si="3"/>
        <v>4.8500000000000005</v>
      </c>
      <c r="F28" s="10">
        <v>40</v>
      </c>
      <c r="G28" s="10">
        <v>0</v>
      </c>
      <c r="H28" s="10">
        <v>0</v>
      </c>
      <c r="I28" s="9">
        <f t="shared" si="4"/>
        <v>6</v>
      </c>
      <c r="J28" s="11">
        <f t="shared" si="5"/>
        <v>12.264285714285716</v>
      </c>
      <c r="K28" s="12">
        <f t="shared" si="0"/>
        <v>10</v>
      </c>
      <c r="L28" s="12" t="str">
        <f t="shared" si="1"/>
        <v>REPROBADO</v>
      </c>
      <c r="M28" s="13"/>
    </row>
    <row r="29" spans="1:12" ht="12.75">
      <c r="A29" s="7" t="s">
        <v>38</v>
      </c>
      <c r="B29" s="8">
        <f ca="1">CELL("contenido",Prácticas!P29)</f>
        <v>90.4935064935065</v>
      </c>
      <c r="C29" s="9">
        <f t="shared" si="2"/>
        <v>9.04935064935065</v>
      </c>
      <c r="D29" s="8">
        <f ca="1">CELL("CONTENIDO",TareasProgramadas!F29)</f>
        <v>78.20000000000002</v>
      </c>
      <c r="E29" s="9">
        <f t="shared" si="3"/>
        <v>19.550000000000004</v>
      </c>
      <c r="F29" s="10">
        <v>96</v>
      </c>
      <c r="G29" s="10">
        <v>82</v>
      </c>
      <c r="H29" s="10">
        <v>95</v>
      </c>
      <c r="I29" s="9">
        <f t="shared" si="4"/>
        <v>58.65</v>
      </c>
      <c r="J29" s="11">
        <f t="shared" si="5"/>
        <v>87.24935064935065</v>
      </c>
      <c r="K29" s="12">
        <f t="shared" si="0"/>
        <v>85</v>
      </c>
      <c r="L29" s="12" t="str">
        <f t="shared" si="1"/>
        <v>APROBADO</v>
      </c>
    </row>
    <row r="30" spans="6:8" ht="12.75">
      <c r="F30" s="14">
        <f>AVERAGE(F9:F29)</f>
        <v>72.19047619047619</v>
      </c>
      <c r="G30" s="14">
        <f>AVERAGE(G9:G29)</f>
        <v>64.57142857142857</v>
      </c>
      <c r="H30" s="14">
        <f>AVERAGE(H9:H29)</f>
        <v>65.19047619047619</v>
      </c>
    </row>
  </sheetData>
  <sheetProtection selectLockedCells="1" selectUnlockedCells="1"/>
  <mergeCells count="6">
    <mergeCell ref="A1:L1"/>
    <mergeCell ref="A2:L2"/>
    <mergeCell ref="A3:L3"/>
    <mergeCell ref="A4:L4"/>
    <mergeCell ref="A5:L5"/>
    <mergeCell ref="A6:L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1" sqref="I31"/>
    </sheetView>
  </sheetViews>
  <sheetFormatPr defaultColWidth="11.421875" defaultRowHeight="12.75"/>
  <cols>
    <col min="1" max="15" width="8.7109375" style="1" customWidth="1"/>
    <col min="16" max="16" width="15.7109375" style="1" customWidth="1"/>
  </cols>
  <sheetData>
    <row r="1" spans="1:16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.75">
      <c r="A6" s="25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15" t="s">
        <v>6</v>
      </c>
      <c r="B8" s="15" t="s">
        <v>40</v>
      </c>
      <c r="C8" s="15" t="s">
        <v>41</v>
      </c>
      <c r="D8" s="15" t="s">
        <v>42</v>
      </c>
      <c r="E8" s="15" t="s">
        <v>43</v>
      </c>
      <c r="F8" s="15" t="s">
        <v>44</v>
      </c>
      <c r="G8" s="15" t="s">
        <v>45</v>
      </c>
      <c r="H8" s="15" t="s">
        <v>46</v>
      </c>
      <c r="I8" s="15" t="s">
        <v>47</v>
      </c>
      <c r="J8" s="15" t="s">
        <v>48</v>
      </c>
      <c r="K8" s="15" t="s">
        <v>49</v>
      </c>
      <c r="L8" s="15" t="s">
        <v>50</v>
      </c>
      <c r="M8" s="15" t="s">
        <v>51</v>
      </c>
      <c r="N8" s="15" t="s">
        <v>52</v>
      </c>
      <c r="O8" s="15" t="s">
        <v>53</v>
      </c>
      <c r="P8" s="15" t="s">
        <v>54</v>
      </c>
    </row>
    <row r="9" spans="1:16" ht="12.75">
      <c r="A9" s="7" t="s">
        <v>18</v>
      </c>
      <c r="B9" s="16">
        <v>0</v>
      </c>
      <c r="C9" s="16">
        <v>0</v>
      </c>
      <c r="D9" s="16">
        <v>0</v>
      </c>
      <c r="E9" s="17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  <c r="M9" s="18">
        <v>0</v>
      </c>
      <c r="N9" s="19">
        <v>0</v>
      </c>
      <c r="O9" s="18">
        <v>0</v>
      </c>
      <c r="P9" s="9">
        <f aca="true" t="shared" si="0" ref="P9:P29">AVERAGE(B9:O9)</f>
        <v>0</v>
      </c>
    </row>
    <row r="10" spans="1:16" ht="12.75">
      <c r="A10" s="7" t="s">
        <v>19</v>
      </c>
      <c r="B10" s="16">
        <v>91.63636363636365</v>
      </c>
      <c r="C10" s="16">
        <v>78</v>
      </c>
      <c r="D10" s="16">
        <v>81</v>
      </c>
      <c r="E10" s="17">
        <v>98</v>
      </c>
      <c r="F10" s="16">
        <v>100</v>
      </c>
      <c r="G10" s="16">
        <v>99.99999999999999</v>
      </c>
      <c r="H10" s="16">
        <v>100</v>
      </c>
      <c r="I10" s="16">
        <v>91.6</v>
      </c>
      <c r="J10" s="17">
        <v>100</v>
      </c>
      <c r="K10" s="16">
        <v>100</v>
      </c>
      <c r="L10" s="16">
        <v>0</v>
      </c>
      <c r="M10" s="18">
        <v>0</v>
      </c>
      <c r="N10" s="19">
        <v>92</v>
      </c>
      <c r="O10" s="18">
        <v>92</v>
      </c>
      <c r="P10" s="9">
        <f t="shared" si="0"/>
        <v>80.3025974025974</v>
      </c>
    </row>
    <row r="11" spans="1:16" ht="12.75">
      <c r="A11" s="7" t="s">
        <v>20</v>
      </c>
      <c r="B11" s="16">
        <v>95.81818181818183</v>
      </c>
      <c r="C11" s="16">
        <v>0</v>
      </c>
      <c r="D11" s="16">
        <v>90</v>
      </c>
      <c r="E11" s="17">
        <v>0</v>
      </c>
      <c r="F11" s="16">
        <v>0</v>
      </c>
      <c r="G11" s="16">
        <v>97.85714285714285</v>
      </c>
      <c r="H11" s="16">
        <v>98</v>
      </c>
      <c r="I11" s="16">
        <v>91.6</v>
      </c>
      <c r="J11" s="17">
        <v>95.3</v>
      </c>
      <c r="K11" s="16">
        <v>97.33</v>
      </c>
      <c r="L11" s="16">
        <v>93</v>
      </c>
      <c r="M11" s="18">
        <v>0</v>
      </c>
      <c r="N11" s="19">
        <v>0</v>
      </c>
      <c r="O11" s="18">
        <v>0</v>
      </c>
      <c r="P11" s="9">
        <f t="shared" si="0"/>
        <v>54.207523191094616</v>
      </c>
    </row>
    <row r="12" spans="1:16" ht="12.75">
      <c r="A12" s="7" t="s">
        <v>21</v>
      </c>
      <c r="B12" s="16">
        <v>92.81818181818183</v>
      </c>
      <c r="C12" s="16">
        <v>97</v>
      </c>
      <c r="D12" s="16">
        <v>95</v>
      </c>
      <c r="E12" s="17">
        <v>0</v>
      </c>
      <c r="F12" s="16">
        <v>100</v>
      </c>
      <c r="G12" s="16">
        <v>99.99999999999999</v>
      </c>
      <c r="H12" s="16">
        <v>96</v>
      </c>
      <c r="I12" s="16">
        <v>96.6</v>
      </c>
      <c r="J12" s="17">
        <v>0</v>
      </c>
      <c r="K12" s="16">
        <v>100</v>
      </c>
      <c r="L12" s="16">
        <v>100</v>
      </c>
      <c r="M12" s="18">
        <v>0</v>
      </c>
      <c r="N12" s="19">
        <v>92</v>
      </c>
      <c r="O12" s="18">
        <v>92</v>
      </c>
      <c r="P12" s="9">
        <f t="shared" si="0"/>
        <v>75.81558441558442</v>
      </c>
    </row>
    <row r="13" spans="1:16" ht="12.75">
      <c r="A13" s="7" t="s">
        <v>22</v>
      </c>
      <c r="B13" s="16">
        <v>97.90909090909092</v>
      </c>
      <c r="C13" s="16">
        <v>90</v>
      </c>
      <c r="D13" s="16">
        <v>89</v>
      </c>
      <c r="E13" s="17">
        <v>86</v>
      </c>
      <c r="F13" s="16">
        <v>100</v>
      </c>
      <c r="G13" s="16">
        <v>99.99999999999999</v>
      </c>
      <c r="H13" s="16">
        <v>100</v>
      </c>
      <c r="I13" s="16">
        <v>100</v>
      </c>
      <c r="J13" s="17">
        <v>100</v>
      </c>
      <c r="K13" s="16">
        <v>0</v>
      </c>
      <c r="L13" s="16">
        <v>100</v>
      </c>
      <c r="M13" s="18">
        <v>0</v>
      </c>
      <c r="N13" s="19">
        <v>88</v>
      </c>
      <c r="O13" s="18">
        <v>88</v>
      </c>
      <c r="P13" s="9">
        <f t="shared" si="0"/>
        <v>81.35064935064936</v>
      </c>
    </row>
    <row r="14" spans="1:16" ht="12.75">
      <c r="A14" s="7" t="s">
        <v>23</v>
      </c>
      <c r="B14" s="16">
        <v>88.72727272727273</v>
      </c>
      <c r="C14" s="16">
        <v>100</v>
      </c>
      <c r="D14" s="16">
        <v>95</v>
      </c>
      <c r="E14" s="17">
        <v>95</v>
      </c>
      <c r="F14" s="16">
        <v>89.71</v>
      </c>
      <c r="G14" s="16">
        <v>99.99999999999999</v>
      </c>
      <c r="H14" s="16">
        <v>100</v>
      </c>
      <c r="I14" s="16">
        <v>91.6</v>
      </c>
      <c r="J14" s="17">
        <v>91.6</v>
      </c>
      <c r="K14" s="16">
        <v>100</v>
      </c>
      <c r="L14" s="16">
        <v>95.5</v>
      </c>
      <c r="M14" s="18">
        <v>0</v>
      </c>
      <c r="N14" s="19">
        <v>94</v>
      </c>
      <c r="O14" s="18">
        <v>94</v>
      </c>
      <c r="P14" s="9">
        <f t="shared" si="0"/>
        <v>88.22409090909092</v>
      </c>
    </row>
    <row r="15" spans="1:16" ht="12.75">
      <c r="A15" s="7" t="s">
        <v>24</v>
      </c>
      <c r="B15" s="16">
        <v>0</v>
      </c>
      <c r="C15" s="16">
        <v>0</v>
      </c>
      <c r="D15" s="16">
        <v>0</v>
      </c>
      <c r="E15" s="17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6">
        <v>0</v>
      </c>
      <c r="L15" s="16">
        <v>0</v>
      </c>
      <c r="M15" s="18">
        <v>0</v>
      </c>
      <c r="N15" s="19">
        <v>0</v>
      </c>
      <c r="O15" s="18">
        <v>0</v>
      </c>
      <c r="P15" s="9">
        <f t="shared" si="0"/>
        <v>0</v>
      </c>
    </row>
    <row r="16" spans="1:16" ht="12.75">
      <c r="A16" s="7" t="s">
        <v>25</v>
      </c>
      <c r="B16" s="16">
        <v>89.63636363636364</v>
      </c>
      <c r="C16" s="16">
        <v>94</v>
      </c>
      <c r="D16" s="16">
        <v>91</v>
      </c>
      <c r="E16" s="17">
        <v>98</v>
      </c>
      <c r="F16" s="16">
        <v>97.85</v>
      </c>
      <c r="G16" s="16">
        <v>99.99999999999999</v>
      </c>
      <c r="H16" s="16">
        <v>100</v>
      </c>
      <c r="I16" s="16">
        <v>95.6</v>
      </c>
      <c r="J16" s="17">
        <v>100</v>
      </c>
      <c r="K16" s="16">
        <v>0</v>
      </c>
      <c r="L16" s="16">
        <v>100</v>
      </c>
      <c r="M16" s="18">
        <v>0</v>
      </c>
      <c r="N16" s="19">
        <v>92</v>
      </c>
      <c r="O16" s="18">
        <v>92</v>
      </c>
      <c r="P16" s="9">
        <f t="shared" si="0"/>
        <v>82.14902597402599</v>
      </c>
    </row>
    <row r="17" spans="1:16" ht="12.75">
      <c r="A17" s="7" t="s">
        <v>26</v>
      </c>
      <c r="B17" s="16">
        <v>83.63636363636364</v>
      </c>
      <c r="C17" s="16">
        <v>72</v>
      </c>
      <c r="D17" s="16">
        <v>100</v>
      </c>
      <c r="E17" s="17">
        <v>86</v>
      </c>
      <c r="F17" s="16">
        <v>92.85</v>
      </c>
      <c r="G17" s="16">
        <v>99.99999999999999</v>
      </c>
      <c r="H17" s="16">
        <v>100</v>
      </c>
      <c r="I17" s="16">
        <v>83.3</v>
      </c>
      <c r="J17" s="17">
        <v>90.3</v>
      </c>
      <c r="K17" s="16">
        <v>0</v>
      </c>
      <c r="L17" s="16">
        <v>0</v>
      </c>
      <c r="M17" s="18">
        <v>0</v>
      </c>
      <c r="N17" s="19">
        <v>70</v>
      </c>
      <c r="O17" s="18">
        <v>70</v>
      </c>
      <c r="P17" s="9">
        <f t="shared" si="0"/>
        <v>67.72045454545454</v>
      </c>
    </row>
    <row r="18" spans="1:16" ht="12.75">
      <c r="A18" s="7" t="s">
        <v>27</v>
      </c>
      <c r="B18" s="16">
        <v>0</v>
      </c>
      <c r="C18" s="16">
        <v>75</v>
      </c>
      <c r="D18" s="16">
        <v>84</v>
      </c>
      <c r="E18" s="17">
        <v>82</v>
      </c>
      <c r="F18" s="16">
        <v>100</v>
      </c>
      <c r="G18" s="16">
        <v>97.85714285714285</v>
      </c>
      <c r="H18" s="16">
        <v>100</v>
      </c>
      <c r="I18" s="16">
        <v>100</v>
      </c>
      <c r="J18" s="17">
        <v>91.6</v>
      </c>
      <c r="K18" s="16">
        <v>100</v>
      </c>
      <c r="L18" s="16">
        <v>100</v>
      </c>
      <c r="M18" s="18">
        <v>0</v>
      </c>
      <c r="N18" s="19">
        <v>96</v>
      </c>
      <c r="O18" s="18">
        <v>96</v>
      </c>
      <c r="P18" s="9">
        <f t="shared" si="0"/>
        <v>80.17551020408165</v>
      </c>
    </row>
    <row r="19" spans="1:16" ht="12.75">
      <c r="A19" s="7" t="s">
        <v>28</v>
      </c>
      <c r="B19" s="16">
        <v>76.54545454545456</v>
      </c>
      <c r="C19" s="16">
        <v>89</v>
      </c>
      <c r="D19" s="16">
        <v>91</v>
      </c>
      <c r="E19" s="17">
        <v>0</v>
      </c>
      <c r="F19" s="16">
        <v>0</v>
      </c>
      <c r="G19" s="16">
        <v>94.71428571428571</v>
      </c>
      <c r="H19" s="16">
        <v>95</v>
      </c>
      <c r="I19" s="16">
        <v>91.6</v>
      </c>
      <c r="J19" s="17">
        <v>100</v>
      </c>
      <c r="K19" s="16">
        <v>0</v>
      </c>
      <c r="L19" s="16">
        <v>93</v>
      </c>
      <c r="M19" s="18">
        <v>0</v>
      </c>
      <c r="N19" s="19">
        <v>88</v>
      </c>
      <c r="O19" s="18">
        <v>88</v>
      </c>
      <c r="P19" s="9">
        <f t="shared" si="0"/>
        <v>64.7756957328386</v>
      </c>
    </row>
    <row r="20" spans="1:16" ht="12.75">
      <c r="A20" s="7" t="s">
        <v>29</v>
      </c>
      <c r="B20" s="16">
        <v>98.90909090909092</v>
      </c>
      <c r="C20" s="16">
        <v>75</v>
      </c>
      <c r="D20" s="16">
        <v>95</v>
      </c>
      <c r="E20" s="17">
        <v>0</v>
      </c>
      <c r="F20" s="16">
        <v>100</v>
      </c>
      <c r="G20" s="16">
        <v>99.99999999999999</v>
      </c>
      <c r="H20" s="16">
        <v>100</v>
      </c>
      <c r="I20" s="16">
        <v>100</v>
      </c>
      <c r="J20" s="17">
        <v>100</v>
      </c>
      <c r="K20" s="16">
        <v>100</v>
      </c>
      <c r="L20" s="16">
        <v>100</v>
      </c>
      <c r="M20" s="18">
        <v>0</v>
      </c>
      <c r="N20" s="19">
        <v>96</v>
      </c>
      <c r="O20" s="18">
        <v>96</v>
      </c>
      <c r="P20" s="9">
        <f t="shared" si="0"/>
        <v>82.92207792207793</v>
      </c>
    </row>
    <row r="21" spans="1:16" ht="12.75">
      <c r="A21" s="7" t="s">
        <v>30</v>
      </c>
      <c r="B21" s="16">
        <v>94.72727272727275</v>
      </c>
      <c r="C21" s="16">
        <v>93</v>
      </c>
      <c r="D21" s="16">
        <v>98</v>
      </c>
      <c r="E21" s="17">
        <v>95</v>
      </c>
      <c r="F21" s="16">
        <v>100</v>
      </c>
      <c r="G21" s="16">
        <v>95.85714285714285</v>
      </c>
      <c r="H21" s="16">
        <v>100</v>
      </c>
      <c r="I21" s="16">
        <v>100</v>
      </c>
      <c r="J21" s="17">
        <v>100</v>
      </c>
      <c r="K21" s="16">
        <v>100</v>
      </c>
      <c r="L21" s="16">
        <v>100</v>
      </c>
      <c r="M21" s="18">
        <v>0</v>
      </c>
      <c r="N21" s="19">
        <v>90</v>
      </c>
      <c r="O21" s="18">
        <v>90</v>
      </c>
      <c r="P21" s="9">
        <f t="shared" si="0"/>
        <v>89.75602968460112</v>
      </c>
    </row>
    <row r="22" spans="1:16" ht="12.75">
      <c r="A22" s="7" t="s">
        <v>31</v>
      </c>
      <c r="B22" s="16">
        <v>0</v>
      </c>
      <c r="C22" s="16">
        <v>0</v>
      </c>
      <c r="D22" s="16">
        <v>0</v>
      </c>
      <c r="E22" s="17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16">
        <v>0</v>
      </c>
      <c r="L22" s="16">
        <v>0</v>
      </c>
      <c r="M22" s="18">
        <v>0</v>
      </c>
      <c r="N22" s="19">
        <v>0</v>
      </c>
      <c r="O22" s="18">
        <v>0</v>
      </c>
      <c r="P22" s="9">
        <f t="shared" si="0"/>
        <v>0</v>
      </c>
    </row>
    <row r="23" spans="1:16" ht="12.75">
      <c r="A23" s="7" t="s">
        <v>32</v>
      </c>
      <c r="B23" s="16">
        <v>0</v>
      </c>
      <c r="C23" s="16">
        <v>0</v>
      </c>
      <c r="D23" s="16">
        <v>0</v>
      </c>
      <c r="E23" s="17">
        <v>0</v>
      </c>
      <c r="F23" s="16">
        <v>70.285</v>
      </c>
      <c r="G23" s="16">
        <v>0</v>
      </c>
      <c r="H23" s="16">
        <v>0</v>
      </c>
      <c r="I23" s="16">
        <v>96.6</v>
      </c>
      <c r="J23" s="17">
        <v>83.3</v>
      </c>
      <c r="K23" s="16">
        <v>0</v>
      </c>
      <c r="L23" s="16">
        <v>0</v>
      </c>
      <c r="M23" s="18">
        <v>0</v>
      </c>
      <c r="N23" s="19">
        <v>0</v>
      </c>
      <c r="O23" s="18">
        <v>0</v>
      </c>
      <c r="P23" s="9">
        <f t="shared" si="0"/>
        <v>17.87035714285714</v>
      </c>
    </row>
    <row r="24" spans="1:16" ht="12.75">
      <c r="A24" s="7" t="s">
        <v>33</v>
      </c>
      <c r="B24" s="16">
        <v>78.45454545454545</v>
      </c>
      <c r="C24" s="16">
        <v>76</v>
      </c>
      <c r="D24" s="16">
        <v>44</v>
      </c>
      <c r="E24" s="17">
        <v>0</v>
      </c>
      <c r="F24" s="16">
        <v>0</v>
      </c>
      <c r="G24" s="16">
        <v>85.42857142857143</v>
      </c>
      <c r="H24" s="16">
        <v>98</v>
      </c>
      <c r="I24" s="16">
        <v>0</v>
      </c>
      <c r="J24" s="17">
        <v>85</v>
      </c>
      <c r="K24" s="16">
        <v>0</v>
      </c>
      <c r="L24" s="16">
        <v>0</v>
      </c>
      <c r="M24" s="18">
        <v>0</v>
      </c>
      <c r="N24" s="19">
        <v>0</v>
      </c>
      <c r="O24" s="18">
        <v>0</v>
      </c>
      <c r="P24" s="9">
        <f t="shared" si="0"/>
        <v>33.34879406307978</v>
      </c>
    </row>
    <row r="25" spans="1:16" ht="12.75">
      <c r="A25" s="7" t="s">
        <v>34</v>
      </c>
      <c r="B25" s="16">
        <v>75.36363636363637</v>
      </c>
      <c r="C25" s="16">
        <v>86</v>
      </c>
      <c r="D25" s="16">
        <v>97</v>
      </c>
      <c r="E25" s="17">
        <v>0</v>
      </c>
      <c r="F25" s="16">
        <v>0</v>
      </c>
      <c r="G25" s="16">
        <v>99.99999999999999</v>
      </c>
      <c r="H25" s="16">
        <v>100</v>
      </c>
      <c r="I25" s="16">
        <v>100</v>
      </c>
      <c r="J25" s="17">
        <v>90.3</v>
      </c>
      <c r="K25" s="16">
        <v>100</v>
      </c>
      <c r="L25" s="16">
        <v>0</v>
      </c>
      <c r="M25" s="18">
        <v>0</v>
      </c>
      <c r="N25" s="19">
        <v>94</v>
      </c>
      <c r="O25" s="18">
        <v>94</v>
      </c>
      <c r="P25" s="9">
        <f t="shared" si="0"/>
        <v>66.90454545454546</v>
      </c>
    </row>
    <row r="26" spans="1:16" ht="12.75">
      <c r="A26" s="7" t="s">
        <v>35</v>
      </c>
      <c r="B26" s="16">
        <v>89.63636363636364</v>
      </c>
      <c r="C26" s="16">
        <v>85</v>
      </c>
      <c r="D26" s="16">
        <v>90</v>
      </c>
      <c r="E26" s="17">
        <v>0</v>
      </c>
      <c r="F26" s="16">
        <v>100</v>
      </c>
      <c r="G26" s="16">
        <v>97.85714285714286</v>
      </c>
      <c r="H26" s="16">
        <v>100</v>
      </c>
      <c r="I26" s="16">
        <v>0</v>
      </c>
      <c r="J26" s="17">
        <v>0</v>
      </c>
      <c r="K26" s="16">
        <v>100</v>
      </c>
      <c r="L26" s="16">
        <v>100</v>
      </c>
      <c r="M26" s="18">
        <v>0</v>
      </c>
      <c r="N26" s="19">
        <v>88</v>
      </c>
      <c r="O26" s="18">
        <v>88</v>
      </c>
      <c r="P26" s="9">
        <f t="shared" si="0"/>
        <v>67.0352504638219</v>
      </c>
    </row>
    <row r="27" spans="1:16" ht="12.75">
      <c r="A27" s="7" t="s">
        <v>36</v>
      </c>
      <c r="B27" s="16">
        <v>95.81818181818183</v>
      </c>
      <c r="C27" s="16">
        <v>73</v>
      </c>
      <c r="D27" s="16">
        <v>94</v>
      </c>
      <c r="E27" s="17">
        <v>98</v>
      </c>
      <c r="F27" s="16">
        <v>0</v>
      </c>
      <c r="G27" s="16">
        <v>97.85714285714285</v>
      </c>
      <c r="H27" s="16">
        <v>96</v>
      </c>
      <c r="I27" s="16">
        <v>0</v>
      </c>
      <c r="J27" s="17">
        <v>0</v>
      </c>
      <c r="K27" s="16">
        <v>100</v>
      </c>
      <c r="L27" s="16">
        <v>95.5</v>
      </c>
      <c r="M27" s="18">
        <v>0</v>
      </c>
      <c r="N27" s="19">
        <v>94</v>
      </c>
      <c r="O27" s="18">
        <v>94</v>
      </c>
      <c r="P27" s="9">
        <f t="shared" si="0"/>
        <v>67.01252319109462</v>
      </c>
    </row>
    <row r="28" spans="1:16" ht="12.75">
      <c r="A28" s="7" t="s">
        <v>37</v>
      </c>
      <c r="B28" s="16">
        <v>0</v>
      </c>
      <c r="C28" s="16">
        <v>0</v>
      </c>
      <c r="D28" s="16">
        <v>0</v>
      </c>
      <c r="E28" s="17">
        <v>0</v>
      </c>
      <c r="F28" s="16">
        <v>100</v>
      </c>
      <c r="G28" s="16">
        <v>0</v>
      </c>
      <c r="H28" s="16">
        <v>98</v>
      </c>
      <c r="I28" s="16">
        <v>0</v>
      </c>
      <c r="J28" s="17">
        <v>0</v>
      </c>
      <c r="K28" s="16">
        <v>0</v>
      </c>
      <c r="L28" s="16">
        <v>0</v>
      </c>
      <c r="M28" s="18">
        <v>0</v>
      </c>
      <c r="N28" s="19">
        <v>0</v>
      </c>
      <c r="O28" s="18">
        <v>0</v>
      </c>
      <c r="P28" s="9">
        <f t="shared" si="0"/>
        <v>14.142857142857142</v>
      </c>
    </row>
    <row r="29" spans="1:16" ht="12.75">
      <c r="A29" s="7" t="s">
        <v>38</v>
      </c>
      <c r="B29" s="16">
        <v>97.90909090909092</v>
      </c>
      <c r="C29" s="16">
        <v>87</v>
      </c>
      <c r="D29" s="16">
        <v>100</v>
      </c>
      <c r="E29" s="17">
        <v>98</v>
      </c>
      <c r="F29" s="16">
        <v>100</v>
      </c>
      <c r="G29" s="16">
        <v>99.99999999999999</v>
      </c>
      <c r="H29" s="16">
        <v>100</v>
      </c>
      <c r="I29" s="16">
        <v>100</v>
      </c>
      <c r="J29" s="17">
        <v>100</v>
      </c>
      <c r="K29" s="16">
        <v>100</v>
      </c>
      <c r="L29" s="16">
        <v>100</v>
      </c>
      <c r="M29" s="18">
        <v>0</v>
      </c>
      <c r="N29" s="19">
        <v>92</v>
      </c>
      <c r="O29" s="18">
        <v>92</v>
      </c>
      <c r="P29" s="9">
        <f t="shared" si="0"/>
        <v>90.4935064935065</v>
      </c>
    </row>
  </sheetData>
  <sheetProtection selectLockedCells="1" selectUnlockedCells="1"/>
  <mergeCells count="6">
    <mergeCell ref="A1:P1"/>
    <mergeCell ref="A2:P2"/>
    <mergeCell ref="A3:P3"/>
    <mergeCell ref="A4:P4"/>
    <mergeCell ref="A5:P5"/>
    <mergeCell ref="A6:P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2" sqref="E32"/>
    </sheetView>
  </sheetViews>
  <sheetFormatPr defaultColWidth="11.421875" defaultRowHeight="12.75"/>
  <cols>
    <col min="1" max="1" width="8.7109375" style="1" customWidth="1"/>
    <col min="2" max="5" width="10.7109375" style="1" customWidth="1"/>
    <col min="6" max="6" width="15.7109375" style="1" customWidth="1"/>
  </cols>
  <sheetData>
    <row r="1" spans="1:13" ht="15.75">
      <c r="A1" s="24" t="s">
        <v>0</v>
      </c>
      <c r="B1" s="24"/>
      <c r="C1" s="24"/>
      <c r="D1" s="24"/>
      <c r="E1" s="24"/>
      <c r="F1" s="24"/>
      <c r="G1" s="20"/>
      <c r="H1" s="20"/>
      <c r="I1" s="20"/>
      <c r="J1" s="20"/>
      <c r="K1" s="20"/>
      <c r="L1" s="20"/>
      <c r="M1" s="20"/>
    </row>
    <row r="2" spans="1:13" ht="15.75">
      <c r="A2" s="24" t="s">
        <v>1</v>
      </c>
      <c r="B2" s="24"/>
      <c r="C2" s="24"/>
      <c r="D2" s="24"/>
      <c r="E2" s="24"/>
      <c r="F2" s="24"/>
      <c r="G2" s="20"/>
      <c r="H2" s="20"/>
      <c r="I2" s="20"/>
      <c r="J2" s="20"/>
      <c r="K2" s="20"/>
      <c r="L2" s="20"/>
      <c r="M2" s="20"/>
    </row>
    <row r="3" spans="1:13" ht="15.75">
      <c r="A3" s="24" t="s">
        <v>2</v>
      </c>
      <c r="B3" s="24"/>
      <c r="C3" s="24"/>
      <c r="D3" s="24"/>
      <c r="E3" s="24"/>
      <c r="F3" s="24"/>
      <c r="G3" s="20"/>
      <c r="H3" s="20"/>
      <c r="I3" s="20"/>
      <c r="J3" s="20"/>
      <c r="K3" s="20"/>
      <c r="L3" s="20"/>
      <c r="M3" s="20"/>
    </row>
    <row r="4" spans="1:13" ht="15.75">
      <c r="A4" s="24" t="s">
        <v>3</v>
      </c>
      <c r="B4" s="24"/>
      <c r="C4" s="24"/>
      <c r="D4" s="24"/>
      <c r="E4" s="24"/>
      <c r="F4" s="24"/>
      <c r="G4" s="20"/>
      <c r="H4" s="20"/>
      <c r="I4" s="20"/>
      <c r="J4" s="20"/>
      <c r="K4" s="20"/>
      <c r="L4" s="20"/>
      <c r="M4" s="20"/>
    </row>
    <row r="5" spans="1:13" ht="15.75">
      <c r="A5" s="24" t="s">
        <v>4</v>
      </c>
      <c r="B5" s="24"/>
      <c r="C5" s="24"/>
      <c r="D5" s="24"/>
      <c r="E5" s="24"/>
      <c r="F5" s="24"/>
      <c r="G5" s="20"/>
      <c r="H5" s="20"/>
      <c r="I5" s="20"/>
      <c r="J5" s="20"/>
      <c r="K5" s="20"/>
      <c r="L5" s="20"/>
      <c r="M5" s="20"/>
    </row>
    <row r="6" spans="1:6" ht="15.75">
      <c r="A6" s="25" t="s">
        <v>55</v>
      </c>
      <c r="B6" s="25"/>
      <c r="C6" s="25"/>
      <c r="D6" s="25"/>
      <c r="E6" s="25"/>
      <c r="F6" s="25"/>
    </row>
    <row r="7" spans="1:6" ht="12.75">
      <c r="A7" s="2"/>
      <c r="B7" s="21"/>
      <c r="C7" s="3"/>
      <c r="D7" s="3"/>
      <c r="E7" s="3"/>
      <c r="F7" s="3"/>
    </row>
    <row r="8" spans="1:6" ht="12.75">
      <c r="A8" s="15" t="s">
        <v>6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54</v>
      </c>
    </row>
    <row r="9" spans="1:6" ht="12.75">
      <c r="A9" s="7" t="s">
        <v>18</v>
      </c>
      <c r="B9" s="16">
        <v>0</v>
      </c>
      <c r="C9" s="16">
        <v>0</v>
      </c>
      <c r="D9" s="22">
        <v>0</v>
      </c>
      <c r="E9" s="22">
        <f ca="1">CELL("contenido",Proyecto!D9)</f>
        <v>0</v>
      </c>
      <c r="F9" s="9">
        <f>(SUM(B9:D9)*0.05+E9*0.1)/0.25</f>
        <v>0</v>
      </c>
    </row>
    <row r="10" spans="1:6" ht="12.75">
      <c r="A10" s="7" t="s">
        <v>19</v>
      </c>
      <c r="B10" s="16">
        <v>99</v>
      </c>
      <c r="C10" s="16">
        <v>99</v>
      </c>
      <c r="D10" s="22">
        <v>0</v>
      </c>
      <c r="E10" s="22">
        <f ca="1">CELL("contenido",Proyecto!D10)</f>
        <v>96</v>
      </c>
      <c r="F10" s="9">
        <f aca="true" t="shared" si="0" ref="F10:F29">(SUM(B10:D10)*0.05+E10*0.1)/0.25</f>
        <v>78</v>
      </c>
    </row>
    <row r="11" spans="1:6" ht="12.75">
      <c r="A11" s="7" t="s">
        <v>20</v>
      </c>
      <c r="B11" s="16">
        <v>79</v>
      </c>
      <c r="C11" s="16">
        <v>94</v>
      </c>
      <c r="D11" s="22">
        <v>0</v>
      </c>
      <c r="E11" s="22">
        <f ca="1">CELL("contenido",Proyecto!D11)</f>
        <v>100</v>
      </c>
      <c r="F11" s="9">
        <f t="shared" si="0"/>
        <v>74.6</v>
      </c>
    </row>
    <row r="12" spans="1:6" ht="12.75">
      <c r="A12" s="7" t="s">
        <v>21</v>
      </c>
      <c r="B12" s="16">
        <v>99</v>
      </c>
      <c r="C12" s="16">
        <v>50</v>
      </c>
      <c r="D12" s="22">
        <v>0</v>
      </c>
      <c r="E12" s="22">
        <f ca="1">CELL("contenido",Proyecto!D12)</f>
        <v>91</v>
      </c>
      <c r="F12" s="9">
        <f t="shared" si="0"/>
        <v>66.2</v>
      </c>
    </row>
    <row r="13" spans="1:6" ht="12.75">
      <c r="A13" s="7" t="s">
        <v>22</v>
      </c>
      <c r="B13" s="16">
        <v>69</v>
      </c>
      <c r="C13" s="16">
        <v>93</v>
      </c>
      <c r="D13" s="22">
        <v>0</v>
      </c>
      <c r="E13" s="22">
        <f ca="1">CELL("contenido",Proyecto!D13)</f>
        <v>94</v>
      </c>
      <c r="F13" s="9">
        <f t="shared" si="0"/>
        <v>70</v>
      </c>
    </row>
    <row r="14" spans="1:6" ht="12.75">
      <c r="A14" s="7" t="s">
        <v>23</v>
      </c>
      <c r="B14" s="16">
        <v>91</v>
      </c>
      <c r="C14" s="16">
        <v>90</v>
      </c>
      <c r="D14" s="22">
        <v>0</v>
      </c>
      <c r="E14" s="22">
        <f ca="1">CELL("contenido",Proyecto!D14)</f>
        <v>95</v>
      </c>
      <c r="F14" s="9">
        <f t="shared" si="0"/>
        <v>74.2</v>
      </c>
    </row>
    <row r="15" spans="1:6" ht="12.75">
      <c r="A15" s="7" t="s">
        <v>24</v>
      </c>
      <c r="B15" s="16">
        <v>0</v>
      </c>
      <c r="C15" s="16">
        <v>0</v>
      </c>
      <c r="D15" s="22">
        <v>0</v>
      </c>
      <c r="E15" s="22">
        <f ca="1">CELL("contenido",Proyecto!D15)</f>
        <v>0</v>
      </c>
      <c r="F15" s="9">
        <f t="shared" si="0"/>
        <v>0</v>
      </c>
    </row>
    <row r="16" spans="1:6" ht="12.75">
      <c r="A16" s="7" t="s">
        <v>25</v>
      </c>
      <c r="B16" s="16">
        <v>0</v>
      </c>
      <c r="C16" s="16">
        <v>83</v>
      </c>
      <c r="D16" s="22">
        <v>0</v>
      </c>
      <c r="E16" s="22">
        <f ca="1">CELL("contenido",Proyecto!D16)</f>
        <v>96</v>
      </c>
      <c r="F16" s="9">
        <f t="shared" si="0"/>
        <v>55.00000000000001</v>
      </c>
    </row>
    <row r="17" spans="1:6" ht="12.75">
      <c r="A17" s="7" t="s">
        <v>26</v>
      </c>
      <c r="B17" s="16">
        <v>0</v>
      </c>
      <c r="C17" s="16">
        <v>82</v>
      </c>
      <c r="D17" s="22">
        <v>0</v>
      </c>
      <c r="E17" s="22">
        <f ca="1">CELL("contenido",Proyecto!D17)</f>
        <v>75</v>
      </c>
      <c r="F17" s="9">
        <f t="shared" si="0"/>
        <v>46.400000000000006</v>
      </c>
    </row>
    <row r="18" spans="1:6" ht="12.75">
      <c r="A18" s="7" t="s">
        <v>27</v>
      </c>
      <c r="B18" s="16">
        <v>71</v>
      </c>
      <c r="C18" s="16">
        <v>76</v>
      </c>
      <c r="D18" s="22">
        <v>0</v>
      </c>
      <c r="E18" s="22">
        <f ca="1">CELL("contenido",Proyecto!D18)</f>
        <v>98</v>
      </c>
      <c r="F18" s="9">
        <f t="shared" si="0"/>
        <v>68.60000000000001</v>
      </c>
    </row>
    <row r="19" spans="1:6" ht="12.75">
      <c r="A19" s="7" t="s">
        <v>28</v>
      </c>
      <c r="B19" s="16">
        <v>71</v>
      </c>
      <c r="C19" s="16">
        <v>0</v>
      </c>
      <c r="D19" s="22">
        <v>0</v>
      </c>
      <c r="E19" s="22">
        <f ca="1">CELL("contenido",Proyecto!D19)</f>
        <v>89</v>
      </c>
      <c r="F19" s="9">
        <f t="shared" si="0"/>
        <v>49.800000000000004</v>
      </c>
    </row>
    <row r="20" spans="1:6" ht="12.75">
      <c r="A20" s="7" t="s">
        <v>29</v>
      </c>
      <c r="B20" s="16">
        <v>78</v>
      </c>
      <c r="C20" s="16">
        <v>75</v>
      </c>
      <c r="D20" s="22">
        <v>0</v>
      </c>
      <c r="E20" s="22">
        <f ca="1">CELL("contenido",Proyecto!D20)</f>
        <v>98</v>
      </c>
      <c r="F20" s="9">
        <f t="shared" si="0"/>
        <v>69.80000000000001</v>
      </c>
    </row>
    <row r="21" spans="1:6" ht="12.75">
      <c r="A21" s="7" t="s">
        <v>30</v>
      </c>
      <c r="B21" s="16">
        <v>98</v>
      </c>
      <c r="C21" s="16">
        <v>89</v>
      </c>
      <c r="D21" s="22">
        <v>0</v>
      </c>
      <c r="E21" s="22">
        <f ca="1">CELL("contenido",Proyecto!D21)</f>
        <v>85</v>
      </c>
      <c r="F21" s="9">
        <f t="shared" si="0"/>
        <v>71.4</v>
      </c>
    </row>
    <row r="22" spans="1:6" ht="12.75">
      <c r="A22" s="7" t="s">
        <v>31</v>
      </c>
      <c r="B22" s="16">
        <v>0</v>
      </c>
      <c r="C22" s="16">
        <v>0</v>
      </c>
      <c r="D22" s="22">
        <v>0</v>
      </c>
      <c r="E22" s="22">
        <f ca="1">CELL("contenido",Proyecto!D22)</f>
        <v>0</v>
      </c>
      <c r="F22" s="9">
        <f t="shared" si="0"/>
        <v>0</v>
      </c>
    </row>
    <row r="23" spans="1:6" ht="12.75">
      <c r="A23" s="7" t="s">
        <v>32</v>
      </c>
      <c r="B23" s="16">
        <v>76</v>
      </c>
      <c r="C23" s="16">
        <v>65</v>
      </c>
      <c r="D23" s="22">
        <v>0</v>
      </c>
      <c r="E23" s="22">
        <f ca="1">CELL("contenido",Proyecto!D23)</f>
        <v>0</v>
      </c>
      <c r="F23" s="9">
        <f t="shared" si="0"/>
        <v>28.200000000000003</v>
      </c>
    </row>
    <row r="24" spans="1:6" ht="12.75">
      <c r="A24" s="7" t="s">
        <v>33</v>
      </c>
      <c r="B24" s="16">
        <v>0</v>
      </c>
      <c r="C24" s="16">
        <v>63</v>
      </c>
      <c r="D24" s="22">
        <v>0</v>
      </c>
      <c r="E24" s="22">
        <f ca="1">CELL("contenido",Proyecto!D24)</f>
        <v>0</v>
      </c>
      <c r="F24" s="9">
        <f t="shared" si="0"/>
        <v>12.600000000000001</v>
      </c>
    </row>
    <row r="25" spans="1:6" ht="12.75">
      <c r="A25" s="7" t="s">
        <v>34</v>
      </c>
      <c r="B25" s="16">
        <v>96</v>
      </c>
      <c r="C25" s="16">
        <v>87</v>
      </c>
      <c r="D25" s="22">
        <v>0</v>
      </c>
      <c r="E25" s="22">
        <f ca="1">CELL("contenido",Proyecto!D25)</f>
        <v>47</v>
      </c>
      <c r="F25" s="9">
        <f t="shared" si="0"/>
        <v>55.400000000000006</v>
      </c>
    </row>
    <row r="26" spans="1:6" ht="12.75">
      <c r="A26" s="7" t="s">
        <v>35</v>
      </c>
      <c r="B26" s="16">
        <v>91</v>
      </c>
      <c r="C26" s="16">
        <v>77</v>
      </c>
      <c r="D26" s="22">
        <v>0</v>
      </c>
      <c r="E26" s="22">
        <f ca="1">CELL("contenido",Proyecto!D26)</f>
        <v>94</v>
      </c>
      <c r="F26" s="9">
        <f t="shared" si="0"/>
        <v>71.2</v>
      </c>
    </row>
    <row r="27" spans="1:6" ht="12.75">
      <c r="A27" s="7" t="s">
        <v>36</v>
      </c>
      <c r="B27" s="16">
        <v>97</v>
      </c>
      <c r="C27" s="16">
        <v>89</v>
      </c>
      <c r="D27" s="22">
        <v>0</v>
      </c>
      <c r="E27" s="22">
        <f ca="1">CELL("contenido",Proyecto!D27)</f>
        <v>95</v>
      </c>
      <c r="F27" s="9">
        <f t="shared" si="0"/>
        <v>75.2</v>
      </c>
    </row>
    <row r="28" spans="1:6" ht="12.75">
      <c r="A28" s="7" t="s">
        <v>37</v>
      </c>
      <c r="B28" s="16">
        <v>97</v>
      </c>
      <c r="C28" s="16">
        <v>0</v>
      </c>
      <c r="D28" s="22">
        <v>0</v>
      </c>
      <c r="E28" s="22">
        <f ca="1">CELL("contenido",Proyecto!D28)</f>
        <v>0</v>
      </c>
      <c r="F28" s="9">
        <f t="shared" si="0"/>
        <v>19.400000000000002</v>
      </c>
    </row>
    <row r="29" spans="1:6" ht="12.75">
      <c r="A29" s="7" t="s">
        <v>38</v>
      </c>
      <c r="B29" s="16">
        <v>99</v>
      </c>
      <c r="C29" s="16">
        <v>100</v>
      </c>
      <c r="D29" s="22">
        <v>0</v>
      </c>
      <c r="E29" s="22">
        <f ca="1">CELL("contenido",Proyecto!D29)</f>
        <v>96</v>
      </c>
      <c r="F29" s="9">
        <f t="shared" si="0"/>
        <v>78.20000000000002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2" sqref="C12"/>
    </sheetView>
  </sheetViews>
  <sheetFormatPr defaultColWidth="11.421875" defaultRowHeight="12.75"/>
  <cols>
    <col min="1" max="1" width="10.7109375" style="1" customWidth="1"/>
    <col min="2" max="4" width="14.7109375" style="1" customWidth="1"/>
    <col min="5" max="5" width="11.421875" style="1" customWidth="1"/>
  </cols>
  <sheetData>
    <row r="1" spans="1:10" ht="15.75">
      <c r="A1" s="24" t="s">
        <v>0</v>
      </c>
      <c r="B1" s="24"/>
      <c r="C1" s="24"/>
      <c r="D1" s="24"/>
      <c r="E1" s="24"/>
      <c r="F1" s="20"/>
      <c r="G1" s="20"/>
      <c r="H1" s="20"/>
      <c r="I1" s="20"/>
      <c r="J1" s="20"/>
    </row>
    <row r="2" spans="1:10" ht="15.75">
      <c r="A2" s="24" t="s">
        <v>1</v>
      </c>
      <c r="B2" s="24"/>
      <c r="C2" s="24"/>
      <c r="D2" s="24"/>
      <c r="E2" s="24"/>
      <c r="F2" s="20"/>
      <c r="G2" s="20"/>
      <c r="H2" s="20"/>
      <c r="I2" s="20"/>
      <c r="J2" s="20"/>
    </row>
    <row r="3" spans="1:10" ht="15.75">
      <c r="A3" s="24" t="s">
        <v>2</v>
      </c>
      <c r="B3" s="24"/>
      <c r="C3" s="24"/>
      <c r="D3" s="24"/>
      <c r="E3" s="24"/>
      <c r="F3" s="20"/>
      <c r="G3" s="20"/>
      <c r="H3" s="20"/>
      <c r="I3" s="20"/>
      <c r="J3" s="20"/>
    </row>
    <row r="4" spans="1:10" ht="15.75">
      <c r="A4" s="24" t="s">
        <v>3</v>
      </c>
      <c r="B4" s="24"/>
      <c r="C4" s="24"/>
      <c r="D4" s="24"/>
      <c r="E4" s="24"/>
      <c r="F4" s="20"/>
      <c r="G4" s="20"/>
      <c r="H4" s="20"/>
      <c r="I4" s="20"/>
      <c r="J4" s="20"/>
    </row>
    <row r="5" spans="1:10" ht="15.75">
      <c r="A5" s="24" t="s">
        <v>4</v>
      </c>
      <c r="B5" s="24"/>
      <c r="C5" s="24"/>
      <c r="D5" s="24"/>
      <c r="E5" s="24"/>
      <c r="F5" s="20"/>
      <c r="G5" s="20"/>
      <c r="H5" s="20"/>
      <c r="I5" s="20"/>
      <c r="J5" s="20"/>
    </row>
    <row r="6" spans="1:4" ht="15.75">
      <c r="A6" s="25" t="s">
        <v>60</v>
      </c>
      <c r="B6" s="25"/>
      <c r="C6" s="25"/>
      <c r="D6" s="25"/>
    </row>
    <row r="7" spans="1:4" ht="12.75">
      <c r="A7" s="2"/>
      <c r="B7" s="4"/>
      <c r="C7" s="4"/>
      <c r="D7" s="4"/>
    </row>
    <row r="8" spans="1:4" ht="25.5">
      <c r="A8" s="15" t="s">
        <v>6</v>
      </c>
      <c r="B8" s="23" t="s">
        <v>61</v>
      </c>
      <c r="C8" s="23" t="s">
        <v>62</v>
      </c>
      <c r="D8" s="23" t="s">
        <v>54</v>
      </c>
    </row>
    <row r="9" spans="1:4" ht="12.75">
      <c r="A9" s="7" t="s">
        <v>18</v>
      </c>
      <c r="B9" s="19">
        <v>0</v>
      </c>
      <c r="C9" s="19">
        <v>0</v>
      </c>
      <c r="D9" s="9">
        <f>AVERAGE(B9:C9)</f>
        <v>0</v>
      </c>
    </row>
    <row r="10" spans="1:4" ht="12.75">
      <c r="A10" s="7" t="s">
        <v>19</v>
      </c>
      <c r="B10" s="19">
        <v>100</v>
      </c>
      <c r="C10" s="19">
        <v>92</v>
      </c>
      <c r="D10" s="9">
        <f aca="true" t="shared" si="0" ref="D10:D29">AVERAGE(B10:C10)</f>
        <v>96</v>
      </c>
    </row>
    <row r="11" spans="1:4" ht="12.75">
      <c r="A11" s="7" t="s">
        <v>20</v>
      </c>
      <c r="B11" s="19">
        <v>100</v>
      </c>
      <c r="C11" s="19">
        <v>100</v>
      </c>
      <c r="D11" s="9">
        <f t="shared" si="0"/>
        <v>100</v>
      </c>
    </row>
    <row r="12" spans="1:4" ht="12.75">
      <c r="A12" s="7" t="s">
        <v>21</v>
      </c>
      <c r="B12" s="19">
        <v>90</v>
      </c>
      <c r="C12" s="19">
        <v>92</v>
      </c>
      <c r="D12" s="9">
        <f t="shared" si="0"/>
        <v>91</v>
      </c>
    </row>
    <row r="13" spans="1:4" ht="12.75">
      <c r="A13" s="7" t="s">
        <v>22</v>
      </c>
      <c r="B13" s="19">
        <v>100</v>
      </c>
      <c r="C13" s="19">
        <v>88</v>
      </c>
      <c r="D13" s="9">
        <f t="shared" si="0"/>
        <v>94</v>
      </c>
    </row>
    <row r="14" spans="1:4" ht="12.75">
      <c r="A14" s="7" t="s">
        <v>23</v>
      </c>
      <c r="B14" s="19">
        <v>96</v>
      </c>
      <c r="C14" s="19">
        <v>94</v>
      </c>
      <c r="D14" s="9">
        <f t="shared" si="0"/>
        <v>95</v>
      </c>
    </row>
    <row r="15" spans="1:4" ht="12.75">
      <c r="A15" s="7" t="s">
        <v>24</v>
      </c>
      <c r="B15" s="19">
        <v>0</v>
      </c>
      <c r="C15" s="19">
        <v>0</v>
      </c>
      <c r="D15" s="9">
        <f t="shared" si="0"/>
        <v>0</v>
      </c>
    </row>
    <row r="16" spans="1:4" ht="12.75">
      <c r="A16" s="7" t="s">
        <v>25</v>
      </c>
      <c r="B16" s="19">
        <v>100</v>
      </c>
      <c r="C16" s="19">
        <v>92</v>
      </c>
      <c r="D16" s="9">
        <f t="shared" si="0"/>
        <v>96</v>
      </c>
    </row>
    <row r="17" spans="1:4" ht="12.75">
      <c r="A17" s="7" t="s">
        <v>26</v>
      </c>
      <c r="B17" s="19">
        <v>80</v>
      </c>
      <c r="C17" s="19">
        <v>70</v>
      </c>
      <c r="D17" s="9">
        <f t="shared" si="0"/>
        <v>75</v>
      </c>
    </row>
    <row r="18" spans="1:4" ht="12.75">
      <c r="A18" s="7" t="s">
        <v>27</v>
      </c>
      <c r="B18" s="19">
        <v>100</v>
      </c>
      <c r="C18" s="19">
        <v>96</v>
      </c>
      <c r="D18" s="9">
        <f t="shared" si="0"/>
        <v>98</v>
      </c>
    </row>
    <row r="19" spans="1:4" ht="12.75">
      <c r="A19" s="7" t="s">
        <v>28</v>
      </c>
      <c r="B19" s="19">
        <v>90</v>
      </c>
      <c r="C19" s="19">
        <v>88</v>
      </c>
      <c r="D19" s="9">
        <f t="shared" si="0"/>
        <v>89</v>
      </c>
    </row>
    <row r="20" spans="1:4" ht="12.75">
      <c r="A20" s="7" t="s">
        <v>29</v>
      </c>
      <c r="B20" s="19">
        <v>100</v>
      </c>
      <c r="C20" s="19">
        <v>96</v>
      </c>
      <c r="D20" s="9">
        <f t="shared" si="0"/>
        <v>98</v>
      </c>
    </row>
    <row r="21" spans="1:4" ht="12.75">
      <c r="A21" s="7" t="s">
        <v>30</v>
      </c>
      <c r="B21" s="19">
        <v>80</v>
      </c>
      <c r="C21" s="19">
        <v>90</v>
      </c>
      <c r="D21" s="9">
        <f t="shared" si="0"/>
        <v>85</v>
      </c>
    </row>
    <row r="22" spans="1:4" ht="12.75">
      <c r="A22" s="7" t="s">
        <v>31</v>
      </c>
      <c r="B22" s="19">
        <v>0</v>
      </c>
      <c r="C22" s="19">
        <v>0</v>
      </c>
      <c r="D22" s="9">
        <f t="shared" si="0"/>
        <v>0</v>
      </c>
    </row>
    <row r="23" spans="1:4" ht="12.75">
      <c r="A23" s="7" t="s">
        <v>32</v>
      </c>
      <c r="B23" s="19">
        <v>0</v>
      </c>
      <c r="C23" s="19">
        <v>0</v>
      </c>
      <c r="D23" s="9">
        <f t="shared" si="0"/>
        <v>0</v>
      </c>
    </row>
    <row r="24" spans="1:4" ht="12.75">
      <c r="A24" s="7" t="s">
        <v>33</v>
      </c>
      <c r="B24" s="19">
        <v>0</v>
      </c>
      <c r="C24" s="19">
        <v>0</v>
      </c>
      <c r="D24" s="9">
        <f t="shared" si="0"/>
        <v>0</v>
      </c>
    </row>
    <row r="25" spans="1:4" ht="12.75">
      <c r="A25" s="7" t="s">
        <v>34</v>
      </c>
      <c r="B25" s="19">
        <v>0</v>
      </c>
      <c r="C25" s="19">
        <v>94</v>
      </c>
      <c r="D25" s="9">
        <f t="shared" si="0"/>
        <v>47</v>
      </c>
    </row>
    <row r="26" spans="1:4" ht="12.75">
      <c r="A26" s="7" t="s">
        <v>35</v>
      </c>
      <c r="B26" s="19">
        <v>100</v>
      </c>
      <c r="C26" s="19">
        <v>88</v>
      </c>
      <c r="D26" s="9">
        <f t="shared" si="0"/>
        <v>94</v>
      </c>
    </row>
    <row r="27" spans="1:4" ht="12.75">
      <c r="A27" s="7" t="s">
        <v>36</v>
      </c>
      <c r="B27" s="19">
        <v>96</v>
      </c>
      <c r="C27" s="19">
        <v>94</v>
      </c>
      <c r="D27" s="9">
        <f t="shared" si="0"/>
        <v>95</v>
      </c>
    </row>
    <row r="28" spans="1:4" ht="12.75">
      <c r="A28" s="7" t="s">
        <v>37</v>
      </c>
      <c r="B28" s="19">
        <v>0</v>
      </c>
      <c r="C28" s="19">
        <v>0</v>
      </c>
      <c r="D28" s="9">
        <f t="shared" si="0"/>
        <v>0</v>
      </c>
    </row>
    <row r="29" spans="1:4" ht="12.75">
      <c r="A29" s="7" t="s">
        <v>38</v>
      </c>
      <c r="B29" s="19">
        <v>100</v>
      </c>
      <c r="C29" s="19">
        <v>92</v>
      </c>
      <c r="D29" s="9">
        <f t="shared" si="0"/>
        <v>96</v>
      </c>
    </row>
  </sheetData>
  <sheetProtection selectLockedCells="1" selectUnlockedCells="1"/>
  <mergeCells count="6">
    <mergeCell ref="A1:E1"/>
    <mergeCell ref="A2:E2"/>
    <mergeCell ref="A3:E3"/>
    <mergeCell ref="A4:E4"/>
    <mergeCell ref="A5:E5"/>
    <mergeCell ref="A6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BN6" sqref="BN6"/>
    </sheetView>
  </sheetViews>
  <sheetFormatPr defaultColWidth="11.421875" defaultRowHeight="12.75"/>
  <sheetData>
    <row r="1" spans="1:256" ht="12.75">
      <c r="A1" t="e">
        <f>IF(Teoria!1:1,"AAAAAD7+7QA=",0)</f>
        <v>#VALUE!</v>
      </c>
      <c r="B1" t="e">
        <f>AND(Teoria!A1,"AAAAAD7+7QE=")</f>
        <v>#VALUE!</v>
      </c>
      <c r="C1" t="e">
        <f>AND(Teoria!B1,"AAAAAD7+7QI=")</f>
        <v>#VALUE!</v>
      </c>
      <c r="D1" t="e">
        <f>AND(Teoria!C1,"AAAAAD7+7QM=")</f>
        <v>#VALUE!</v>
      </c>
      <c r="E1" t="e">
        <f>AND(Teoria!D1,"AAAAAD7+7QQ=")</f>
        <v>#VALUE!</v>
      </c>
      <c r="F1" t="e">
        <f>AND(Teoria!E1,"AAAAAD7+7QU=")</f>
        <v>#VALUE!</v>
      </c>
      <c r="G1" t="e">
        <f>AND(Teoria!F1,"AAAAAD7+7QY=")</f>
        <v>#VALUE!</v>
      </c>
      <c r="H1" t="e">
        <f>AND(Teoria!G1,"AAAAAD7+7Qc=")</f>
        <v>#VALUE!</v>
      </c>
      <c r="I1" t="e">
        <f>AND(Teoria!H1,"AAAAAD7+7Qg=")</f>
        <v>#VALUE!</v>
      </c>
      <c r="J1" t="e">
        <f>AND(Teoria!I1,"AAAAAD7+7Qk=")</f>
        <v>#VALUE!</v>
      </c>
      <c r="K1" t="e">
        <f>AND(Teoria!J1,"AAAAAD7+7Qo=")</f>
        <v>#VALUE!</v>
      </c>
      <c r="L1" t="e">
        <f>AND(Teoria!K1,"AAAAAD7+7Qs=")</f>
        <v>#VALUE!</v>
      </c>
      <c r="M1" t="e">
        <f>AND(Teoria!L1,"AAAAAD7+7Qw=")</f>
        <v>#VALUE!</v>
      </c>
      <c r="N1" t="e">
        <f>AND(Teoria!M1,"AAAAAD7+7Q0=")</f>
        <v>#VALUE!</v>
      </c>
      <c r="O1">
        <f>IF(Teoria!2:2,"AAAAAD7+7Q4=",0)</f>
        <v>0</v>
      </c>
      <c r="P1" t="e">
        <f>AND(Teoria!A2,"AAAAAD7+7Q8=")</f>
        <v>#VALUE!</v>
      </c>
      <c r="Q1" t="e">
        <f>AND(Teoria!B2,"AAAAAD7+7RA=")</f>
        <v>#VALUE!</v>
      </c>
      <c r="R1" t="e">
        <f>AND(Teoria!C2,"AAAAAD7+7RE=")</f>
        <v>#VALUE!</v>
      </c>
      <c r="S1" t="e">
        <f>AND(Teoria!D2,"AAAAAD7+7RI=")</f>
        <v>#VALUE!</v>
      </c>
      <c r="T1" t="e">
        <f>AND(Teoria!E2,"AAAAAD7+7RM=")</f>
        <v>#VALUE!</v>
      </c>
      <c r="U1" t="e">
        <f>AND(Teoria!F2,"AAAAAD7+7RQ=")</f>
        <v>#VALUE!</v>
      </c>
      <c r="V1" t="e">
        <f>AND(Teoria!G2,"AAAAAD7+7RU=")</f>
        <v>#VALUE!</v>
      </c>
      <c r="W1" t="e">
        <f>AND(Teoria!H2,"AAAAAD7+7RY=")</f>
        <v>#VALUE!</v>
      </c>
      <c r="X1" t="e">
        <f>AND(Teoria!I2,"AAAAAD7+7Rc=")</f>
        <v>#VALUE!</v>
      </c>
      <c r="Y1" t="e">
        <f>AND(Teoria!J2,"AAAAAD7+7Rg=")</f>
        <v>#VALUE!</v>
      </c>
      <c r="Z1" t="e">
        <f>AND(Teoria!K2,"AAAAAD7+7Rk=")</f>
        <v>#VALUE!</v>
      </c>
      <c r="AA1" t="e">
        <f>AND(Teoria!L2,"AAAAAD7+7Ro=")</f>
        <v>#VALUE!</v>
      </c>
      <c r="AB1" t="e">
        <f>AND(Teoria!M2,"AAAAAD7+7Rs=")</f>
        <v>#VALUE!</v>
      </c>
      <c r="AC1">
        <f>IF(Teoria!3:3,"AAAAAD7+7Rw=",0)</f>
        <v>0</v>
      </c>
      <c r="AD1" t="e">
        <f>AND(Teoria!A3,"AAAAAD7+7R0=")</f>
        <v>#VALUE!</v>
      </c>
      <c r="AE1" t="e">
        <f>AND(Teoria!B3,"AAAAAD7+7R4=")</f>
        <v>#VALUE!</v>
      </c>
      <c r="AF1" t="e">
        <f>AND(Teoria!C3,"AAAAAD7+7R8=")</f>
        <v>#VALUE!</v>
      </c>
      <c r="AG1" t="e">
        <f>AND(Teoria!D3,"AAAAAD7+7SA=")</f>
        <v>#VALUE!</v>
      </c>
      <c r="AH1" t="e">
        <f>AND(Teoria!E3,"AAAAAD7+7SE=")</f>
        <v>#VALUE!</v>
      </c>
      <c r="AI1" t="e">
        <f>AND(Teoria!F3,"AAAAAD7+7SI=")</f>
        <v>#VALUE!</v>
      </c>
      <c r="AJ1" t="e">
        <f>AND(Teoria!G3,"AAAAAD7+7SM=")</f>
        <v>#VALUE!</v>
      </c>
      <c r="AK1" t="e">
        <f>AND(Teoria!H3,"AAAAAD7+7SQ=")</f>
        <v>#VALUE!</v>
      </c>
      <c r="AL1" t="e">
        <f>AND(Teoria!I3,"AAAAAD7+7SU=")</f>
        <v>#VALUE!</v>
      </c>
      <c r="AM1" t="e">
        <f>AND(Teoria!J3,"AAAAAD7+7SY=")</f>
        <v>#VALUE!</v>
      </c>
      <c r="AN1" t="e">
        <f>AND(Teoria!K3,"AAAAAD7+7Sc=")</f>
        <v>#VALUE!</v>
      </c>
      <c r="AO1" t="e">
        <f>AND(Teoria!L3,"AAAAAD7+7Sg=")</f>
        <v>#VALUE!</v>
      </c>
      <c r="AP1" t="e">
        <f>AND(Teoria!M3,"AAAAAD7+7Sk=")</f>
        <v>#VALUE!</v>
      </c>
      <c r="AQ1">
        <f>IF(Teoria!4:4,"AAAAAD7+7So=",0)</f>
        <v>0</v>
      </c>
      <c r="AR1" t="e">
        <f>AND(Teoria!A4,"AAAAAD7+7Ss=")</f>
        <v>#VALUE!</v>
      </c>
      <c r="AS1" t="e">
        <f>AND(Teoria!B4,"AAAAAD7+7Sw=")</f>
        <v>#VALUE!</v>
      </c>
      <c r="AT1" t="e">
        <f>AND(Teoria!C4,"AAAAAD7+7S0=")</f>
        <v>#VALUE!</v>
      </c>
      <c r="AU1" t="e">
        <f>AND(Teoria!D4,"AAAAAD7+7S4=")</f>
        <v>#VALUE!</v>
      </c>
      <c r="AV1" t="e">
        <f>AND(Teoria!E4,"AAAAAD7+7S8=")</f>
        <v>#VALUE!</v>
      </c>
      <c r="AW1" t="e">
        <f>AND(Teoria!F4,"AAAAAD7+7TA=")</f>
        <v>#VALUE!</v>
      </c>
      <c r="AX1" t="e">
        <f>AND(Teoria!G4,"AAAAAD7+7TE=")</f>
        <v>#VALUE!</v>
      </c>
      <c r="AY1" t="e">
        <f>AND(Teoria!H4,"AAAAAD7+7TI=")</f>
        <v>#VALUE!</v>
      </c>
      <c r="AZ1" t="e">
        <f>AND(Teoria!I4,"AAAAAD7+7TM=")</f>
        <v>#VALUE!</v>
      </c>
      <c r="BA1" t="e">
        <f>AND(Teoria!J4,"AAAAAD7+7TQ=")</f>
        <v>#VALUE!</v>
      </c>
      <c r="BB1" t="e">
        <f>AND(Teoria!K4,"AAAAAD7+7TU=")</f>
        <v>#VALUE!</v>
      </c>
      <c r="BC1" t="e">
        <f>AND(Teoria!L4,"AAAAAD7+7TY=")</f>
        <v>#VALUE!</v>
      </c>
      <c r="BD1" t="e">
        <f>AND(Teoria!M4,"AAAAAD7+7Tc=")</f>
        <v>#VALUE!</v>
      </c>
      <c r="BE1">
        <f>IF(Teoria!5:5,"AAAAAD7+7Tg=",0)</f>
        <v>0</v>
      </c>
      <c r="BF1" t="e">
        <f>AND(Teoria!A5,"AAAAAD7+7Tk=")</f>
        <v>#VALUE!</v>
      </c>
      <c r="BG1" t="e">
        <f>AND(Teoria!B5,"AAAAAD7+7To=")</f>
        <v>#VALUE!</v>
      </c>
      <c r="BH1" t="e">
        <f>AND(Teoria!C5,"AAAAAD7+7Ts=")</f>
        <v>#VALUE!</v>
      </c>
      <c r="BI1" t="e">
        <f>AND(Teoria!D5,"AAAAAD7+7Tw=")</f>
        <v>#VALUE!</v>
      </c>
      <c r="BJ1" t="e">
        <f>AND(Teoria!E5,"AAAAAD7+7T0=")</f>
        <v>#VALUE!</v>
      </c>
      <c r="BK1" t="e">
        <f>AND(Teoria!F5,"AAAAAD7+7T4=")</f>
        <v>#VALUE!</v>
      </c>
      <c r="BL1" t="e">
        <f>AND(Teoria!G5,"AAAAAD7+7T8=")</f>
        <v>#VALUE!</v>
      </c>
      <c r="BM1" t="e">
        <f>AND(Teoria!H5,"AAAAAD7+7UA=")</f>
        <v>#VALUE!</v>
      </c>
      <c r="BN1" t="e">
        <f>AND(Teoria!I5,"AAAAAD7+7UE=")</f>
        <v>#VALUE!</v>
      </c>
      <c r="BO1" t="e">
        <f>AND(Teoria!J5,"AAAAAD7+7UI=")</f>
        <v>#VALUE!</v>
      </c>
      <c r="BP1" t="e">
        <f>AND(Teoria!K5,"AAAAAD7+7UM=")</f>
        <v>#VALUE!</v>
      </c>
      <c r="BQ1" t="e">
        <f>AND(Teoria!L5,"AAAAAD7+7UQ=")</f>
        <v>#VALUE!</v>
      </c>
      <c r="BR1" t="e">
        <f>AND(Teoria!M5,"AAAAAD7+7UU=")</f>
        <v>#VALUE!</v>
      </c>
      <c r="BS1">
        <f>IF(Teoria!6:6,"AAAAAD7+7UY=",0)</f>
        <v>0</v>
      </c>
      <c r="BT1" t="e">
        <f>AND(Teoria!A6,"AAAAAD7+7Uc=")</f>
        <v>#VALUE!</v>
      </c>
      <c r="BU1" t="e">
        <f>AND(Teoria!B6,"AAAAAD7+7Ug=")</f>
        <v>#VALUE!</v>
      </c>
      <c r="BV1" t="e">
        <f>AND(Teoria!C6,"AAAAAD7+7Uk=")</f>
        <v>#VALUE!</v>
      </c>
      <c r="BW1" t="e">
        <f>AND(Teoria!D6,"AAAAAD7+7Uo=")</f>
        <v>#VALUE!</v>
      </c>
      <c r="BX1" t="e">
        <f>AND(Teoria!E6,"AAAAAD7+7Us=")</f>
        <v>#VALUE!</v>
      </c>
      <c r="BY1" t="e">
        <f>AND(Teoria!F6,"AAAAAD7+7Uw=")</f>
        <v>#VALUE!</v>
      </c>
      <c r="BZ1" t="e">
        <f>AND(Teoria!G6,"AAAAAD7+7U0=")</f>
        <v>#VALUE!</v>
      </c>
      <c r="CA1" t="e">
        <f>AND(Teoria!H6,"AAAAAD7+7U4=")</f>
        <v>#VALUE!</v>
      </c>
      <c r="CB1" t="e">
        <f>AND(Teoria!I6,"AAAAAD7+7U8=")</f>
        <v>#VALUE!</v>
      </c>
      <c r="CC1" t="e">
        <f>AND(Teoria!J6,"AAAAAD7+7VA=")</f>
        <v>#VALUE!</v>
      </c>
      <c r="CD1" t="e">
        <f>AND(Teoria!K6,"AAAAAD7+7VE=")</f>
        <v>#VALUE!</v>
      </c>
      <c r="CE1" t="e">
        <f>AND(Teoria!L6,"AAAAAD7+7VI=")</f>
        <v>#VALUE!</v>
      </c>
      <c r="CF1" t="e">
        <f>AND(Teoria!M6,"AAAAAD7+7VM=")</f>
        <v>#VALUE!</v>
      </c>
      <c r="CG1">
        <f>IF(Teoria!7:7,"AAAAAD7+7VQ=",0)</f>
        <v>0</v>
      </c>
      <c r="CH1" t="e">
        <f>AND(Teoria!A7,"AAAAAD7+7VU=")</f>
        <v>#VALUE!</v>
      </c>
      <c r="CI1" t="e">
        <f>AND(Teoria!B7,"AAAAAD7+7VY=")</f>
        <v>#VALUE!</v>
      </c>
      <c r="CJ1" t="e">
        <f>AND(Teoria!C7,"AAAAAD7+7Vc=")</f>
        <v>#VALUE!</v>
      </c>
      <c r="CK1" t="e">
        <f>AND(Teoria!D7,"AAAAAD7+7Vg=")</f>
        <v>#VALUE!</v>
      </c>
      <c r="CL1" t="e">
        <f>AND(Teoria!E7,"AAAAAD7+7Vk=")</f>
        <v>#VALUE!</v>
      </c>
      <c r="CM1" t="e">
        <f>AND(Teoria!F7,"AAAAAD7+7Vo=")</f>
        <v>#VALUE!</v>
      </c>
      <c r="CN1" t="e">
        <f>AND(Teoria!G7,"AAAAAD7+7Vs=")</f>
        <v>#VALUE!</v>
      </c>
      <c r="CO1" t="e">
        <f>AND(Teoria!H7,"AAAAAD7+7Vw=")</f>
        <v>#VALUE!</v>
      </c>
      <c r="CP1" t="e">
        <f>AND(Teoria!I7,"AAAAAD7+7V0=")</f>
        <v>#VALUE!</v>
      </c>
      <c r="CQ1" t="e">
        <f>AND(Teoria!J7,"AAAAAD7+7V4=")</f>
        <v>#VALUE!</v>
      </c>
      <c r="CR1" t="e">
        <f>AND(Teoria!K7,"AAAAAD7+7V8=")</f>
        <v>#VALUE!</v>
      </c>
      <c r="CS1" t="e">
        <f>AND(Teoria!L7,"AAAAAD7+7WA=")</f>
        <v>#VALUE!</v>
      </c>
      <c r="CT1" t="e">
        <f>AND(Teoria!M7,"AAAAAD7+7WE=")</f>
        <v>#VALUE!</v>
      </c>
      <c r="CU1">
        <f>IF(Teoria!8:8,"AAAAAD7+7WI=",0)</f>
        <v>0</v>
      </c>
      <c r="CV1" t="e">
        <f>AND(Teoria!A8,"AAAAAD7+7WM=")</f>
        <v>#VALUE!</v>
      </c>
      <c r="CW1" t="e">
        <f>AND(Teoria!B8,"AAAAAD7+7WQ=")</f>
        <v>#VALUE!</v>
      </c>
      <c r="CX1" t="e">
        <f>AND(Teoria!C8,"AAAAAD7+7WU=")</f>
        <v>#VALUE!</v>
      </c>
      <c r="CY1" t="e">
        <f>AND(Teoria!D8,"AAAAAD7+7WY=")</f>
        <v>#VALUE!</v>
      </c>
      <c r="CZ1" t="e">
        <f>AND(Teoria!E8,"AAAAAD7+7Wc=")</f>
        <v>#VALUE!</v>
      </c>
      <c r="DA1" t="e">
        <f>AND(Teoria!F8,"AAAAAD7+7Wg=")</f>
        <v>#VALUE!</v>
      </c>
      <c r="DB1" t="e">
        <f>AND(Teoria!G8,"AAAAAD7+7Wk=")</f>
        <v>#VALUE!</v>
      </c>
      <c r="DC1" t="e">
        <f>AND(Teoria!H8,"AAAAAD7+7Wo=")</f>
        <v>#VALUE!</v>
      </c>
      <c r="DD1" t="e">
        <f>AND(Teoria!I8,"AAAAAD7+7Ws=")</f>
        <v>#VALUE!</v>
      </c>
      <c r="DE1" t="e">
        <f>AND(Teoria!J8,"AAAAAD7+7Ww=")</f>
        <v>#VALUE!</v>
      </c>
      <c r="DF1" t="e">
        <f>AND(Teoria!K8,"AAAAAD7+7W0=")</f>
        <v>#VALUE!</v>
      </c>
      <c r="DG1" t="e">
        <f>AND(Teoria!L8,"AAAAAD7+7W4=")</f>
        <v>#VALUE!</v>
      </c>
      <c r="DH1" t="e">
        <f>AND(Teoria!M8,"AAAAAD7+7W8=")</f>
        <v>#VALUE!</v>
      </c>
      <c r="DI1">
        <f>IF(Teoria!9:9,"AAAAAD7+7XA=",0)</f>
        <v>0</v>
      </c>
      <c r="DJ1" t="e">
        <f>AND(Teoria!A9,"AAAAAD7+7XE=")</f>
        <v>#VALUE!</v>
      </c>
      <c r="DK1" t="e">
        <f>AND(Teoria!B9,"AAAAAD7+7XI=")</f>
        <v>#VALUE!</v>
      </c>
      <c r="DL1" t="e">
        <f>AND(Teoria!C9,"AAAAAD7+7XM=")</f>
        <v>#VALUE!</v>
      </c>
      <c r="DM1" t="e">
        <f>AND(Teoria!D9,"AAAAAD7+7XQ=")</f>
        <v>#VALUE!</v>
      </c>
      <c r="DN1" t="e">
        <f>AND(Teoria!E9,"AAAAAD7+7XU=")</f>
        <v>#VALUE!</v>
      </c>
      <c r="DO1" t="e">
        <f>AND(Teoria!F9,"AAAAAD7+7XY=")</f>
        <v>#VALUE!</v>
      </c>
      <c r="DP1" t="e">
        <f>AND(Teoria!G9,"AAAAAD7+7Xc=")</f>
        <v>#VALUE!</v>
      </c>
      <c r="DQ1" t="e">
        <f>AND(Teoria!H9,"AAAAAD7+7Xg=")</f>
        <v>#VALUE!</v>
      </c>
      <c r="DR1" t="e">
        <f>AND(Teoria!I9,"AAAAAD7+7Xk=")</f>
        <v>#VALUE!</v>
      </c>
      <c r="DS1" t="e">
        <f>AND(Teoria!J9,"AAAAAD7+7Xo=")</f>
        <v>#VALUE!</v>
      </c>
      <c r="DT1" t="e">
        <f>AND(Teoria!K9,"AAAAAD7+7Xs=")</f>
        <v>#VALUE!</v>
      </c>
      <c r="DU1" t="e">
        <f>AND(Teoria!L9,"AAAAAD7+7Xw=")</f>
        <v>#VALUE!</v>
      </c>
      <c r="DV1" t="e">
        <f>AND(Teoria!M9,"AAAAAD7+7X0=")</f>
        <v>#VALUE!</v>
      </c>
      <c r="DW1">
        <f>IF(Teoria!10:10,"AAAAAD7+7X4=",0)</f>
        <v>0</v>
      </c>
      <c r="DX1" t="e">
        <f>AND(Teoria!A10,"AAAAAD7+7X8=")</f>
        <v>#VALUE!</v>
      </c>
      <c r="DY1" t="e">
        <f>AND(Teoria!B10,"AAAAAD7+7YA=")</f>
        <v>#VALUE!</v>
      </c>
      <c r="DZ1" t="e">
        <f>AND(Teoria!C10,"AAAAAD7+7YE=")</f>
        <v>#VALUE!</v>
      </c>
      <c r="EA1" t="e">
        <f>AND(Teoria!D10,"AAAAAD7+7YI=")</f>
        <v>#VALUE!</v>
      </c>
      <c r="EB1" t="e">
        <f>AND(Teoria!E10,"AAAAAD7+7YM=")</f>
        <v>#VALUE!</v>
      </c>
      <c r="EC1" t="e">
        <f>AND(Teoria!F10,"AAAAAD7+7YQ=")</f>
        <v>#VALUE!</v>
      </c>
      <c r="ED1" t="e">
        <f>AND(Teoria!G10,"AAAAAD7+7YU=")</f>
        <v>#VALUE!</v>
      </c>
      <c r="EE1" t="e">
        <f>AND(Teoria!H10,"AAAAAD7+7YY=")</f>
        <v>#VALUE!</v>
      </c>
      <c r="EF1" t="e">
        <f>AND(Teoria!I10,"AAAAAD7+7Yc=")</f>
        <v>#VALUE!</v>
      </c>
      <c r="EG1" t="e">
        <f>AND(Teoria!J10,"AAAAAD7+7Yg=")</f>
        <v>#VALUE!</v>
      </c>
      <c r="EH1" t="e">
        <f>AND(Teoria!K10,"AAAAAD7+7Yk=")</f>
        <v>#VALUE!</v>
      </c>
      <c r="EI1" t="e">
        <f>AND(Teoria!L10,"AAAAAD7+7Yo=")</f>
        <v>#VALUE!</v>
      </c>
      <c r="EJ1" t="e">
        <f>AND(Teoria!M10,"AAAAAD7+7Ys=")</f>
        <v>#VALUE!</v>
      </c>
      <c r="EK1">
        <f>IF(Teoria!11:11,"AAAAAD7+7Yw=",0)</f>
        <v>0</v>
      </c>
      <c r="EL1" t="e">
        <f>AND(Teoria!A11,"AAAAAD7+7Y0=")</f>
        <v>#VALUE!</v>
      </c>
      <c r="EM1" t="e">
        <f>AND(Teoria!B11,"AAAAAD7+7Y4=")</f>
        <v>#VALUE!</v>
      </c>
      <c r="EN1" t="e">
        <f>AND(Teoria!C11,"AAAAAD7+7Y8=")</f>
        <v>#VALUE!</v>
      </c>
      <c r="EO1" t="e">
        <f>AND(Teoria!D11,"AAAAAD7+7ZA=")</f>
        <v>#VALUE!</v>
      </c>
      <c r="EP1" t="e">
        <f>AND(Teoria!E11,"AAAAAD7+7ZE=")</f>
        <v>#VALUE!</v>
      </c>
      <c r="EQ1" t="e">
        <f>AND(Teoria!F11,"AAAAAD7+7ZI=")</f>
        <v>#VALUE!</v>
      </c>
      <c r="ER1" t="e">
        <f>AND(Teoria!G11,"AAAAAD7+7ZM=")</f>
        <v>#VALUE!</v>
      </c>
      <c r="ES1" t="e">
        <f>AND(Teoria!H11,"AAAAAD7+7ZQ=")</f>
        <v>#VALUE!</v>
      </c>
      <c r="ET1" t="e">
        <f>AND(Teoria!I11,"AAAAAD7+7ZU=")</f>
        <v>#VALUE!</v>
      </c>
      <c r="EU1" t="e">
        <f>AND(Teoria!J11,"AAAAAD7+7ZY=")</f>
        <v>#VALUE!</v>
      </c>
      <c r="EV1" t="e">
        <f>AND(Teoria!K11,"AAAAAD7+7Zc=")</f>
        <v>#VALUE!</v>
      </c>
      <c r="EW1" t="e">
        <f>AND(Teoria!L11,"AAAAAD7+7Zg=")</f>
        <v>#VALUE!</v>
      </c>
      <c r="EX1" t="e">
        <f>AND(Teoria!M11,"AAAAAD7+7Zk=")</f>
        <v>#VALUE!</v>
      </c>
      <c r="EY1">
        <f>IF(Teoria!12:12,"AAAAAD7+7Zo=",0)</f>
        <v>0</v>
      </c>
      <c r="EZ1" t="e">
        <f>AND(Teoria!A12,"AAAAAD7+7Zs=")</f>
        <v>#VALUE!</v>
      </c>
      <c r="FA1" t="e">
        <f>AND(Teoria!B12,"AAAAAD7+7Zw=")</f>
        <v>#VALUE!</v>
      </c>
      <c r="FB1" t="e">
        <f>AND(Teoria!C12,"AAAAAD7+7Z0=")</f>
        <v>#VALUE!</v>
      </c>
      <c r="FC1" t="e">
        <f>AND(Teoria!D12,"AAAAAD7+7Z4=")</f>
        <v>#VALUE!</v>
      </c>
      <c r="FD1" t="e">
        <f>AND(Teoria!E12,"AAAAAD7+7Z8=")</f>
        <v>#VALUE!</v>
      </c>
      <c r="FE1" t="e">
        <f>AND(Teoria!F12,"AAAAAD7+7aA=")</f>
        <v>#VALUE!</v>
      </c>
      <c r="FF1" t="e">
        <f>AND(Teoria!G12,"AAAAAD7+7aE=")</f>
        <v>#VALUE!</v>
      </c>
      <c r="FG1" t="e">
        <f>AND(Teoria!H12,"AAAAAD7+7aI=")</f>
        <v>#VALUE!</v>
      </c>
      <c r="FH1" t="e">
        <f>AND(Teoria!I12,"AAAAAD7+7aM=")</f>
        <v>#VALUE!</v>
      </c>
      <c r="FI1" t="e">
        <f>AND(Teoria!J12,"AAAAAD7+7aQ=")</f>
        <v>#VALUE!</v>
      </c>
      <c r="FJ1" t="e">
        <f>AND(Teoria!K12,"AAAAAD7+7aU=")</f>
        <v>#VALUE!</v>
      </c>
      <c r="FK1" t="e">
        <f>AND(Teoria!L12,"AAAAAD7+7aY=")</f>
        <v>#VALUE!</v>
      </c>
      <c r="FL1" t="e">
        <f>AND(Teoria!M12,"AAAAAD7+7ac=")</f>
        <v>#VALUE!</v>
      </c>
      <c r="FM1">
        <f>IF(Teoria!13:13,"AAAAAD7+7ag=",0)</f>
        <v>0</v>
      </c>
      <c r="FN1" t="e">
        <f>AND(Teoria!A13,"AAAAAD7+7ak=")</f>
        <v>#VALUE!</v>
      </c>
      <c r="FO1" t="e">
        <f>AND(Teoria!B13,"AAAAAD7+7ao=")</f>
        <v>#VALUE!</v>
      </c>
      <c r="FP1" t="e">
        <f>AND(Teoria!C13,"AAAAAD7+7as=")</f>
        <v>#VALUE!</v>
      </c>
      <c r="FQ1" t="e">
        <f>AND(Teoria!D13,"AAAAAD7+7aw=")</f>
        <v>#VALUE!</v>
      </c>
      <c r="FR1" t="e">
        <f>AND(Teoria!E13,"AAAAAD7+7a0=")</f>
        <v>#VALUE!</v>
      </c>
      <c r="FS1" t="e">
        <f>AND(Teoria!F13,"AAAAAD7+7a4=")</f>
        <v>#VALUE!</v>
      </c>
      <c r="FT1" t="e">
        <f>AND(Teoria!G13,"AAAAAD7+7a8=")</f>
        <v>#VALUE!</v>
      </c>
      <c r="FU1" t="e">
        <f>AND(Teoria!H13,"AAAAAD7+7bA=")</f>
        <v>#VALUE!</v>
      </c>
      <c r="FV1" t="e">
        <f>AND(Teoria!I13,"AAAAAD7+7bE=")</f>
        <v>#VALUE!</v>
      </c>
      <c r="FW1" t="e">
        <f>AND(Teoria!J13,"AAAAAD7+7bI=")</f>
        <v>#VALUE!</v>
      </c>
      <c r="FX1" t="e">
        <f>AND(Teoria!K13,"AAAAAD7+7bM=")</f>
        <v>#VALUE!</v>
      </c>
      <c r="FY1" t="e">
        <f>AND(Teoria!L13,"AAAAAD7+7bQ=")</f>
        <v>#VALUE!</v>
      </c>
      <c r="FZ1" t="e">
        <f>AND(Teoria!M13,"AAAAAD7+7bU=")</f>
        <v>#VALUE!</v>
      </c>
      <c r="GA1">
        <f>IF(Teoria!14:14,"AAAAAD7+7bY=",0)</f>
        <v>0</v>
      </c>
      <c r="GB1" t="e">
        <f>AND(Teoria!A14,"AAAAAD7+7bc=")</f>
        <v>#VALUE!</v>
      </c>
      <c r="GC1" t="e">
        <f>AND(Teoria!B14,"AAAAAD7+7bg=")</f>
        <v>#VALUE!</v>
      </c>
      <c r="GD1" t="e">
        <f>AND(Teoria!C14,"AAAAAD7+7bk=")</f>
        <v>#VALUE!</v>
      </c>
      <c r="GE1" t="e">
        <f>AND(Teoria!D14,"AAAAAD7+7bo=")</f>
        <v>#VALUE!</v>
      </c>
      <c r="GF1" t="e">
        <f>AND(Teoria!E14,"AAAAAD7+7bs=")</f>
        <v>#VALUE!</v>
      </c>
      <c r="GG1" t="e">
        <f>AND(Teoria!F14,"AAAAAD7+7bw=")</f>
        <v>#VALUE!</v>
      </c>
      <c r="GH1" t="e">
        <f>AND(Teoria!G14,"AAAAAD7+7b0=")</f>
        <v>#VALUE!</v>
      </c>
      <c r="GI1" t="e">
        <f>AND(Teoria!H14,"AAAAAD7+7b4=")</f>
        <v>#VALUE!</v>
      </c>
      <c r="GJ1" t="e">
        <f>AND(Teoria!I14,"AAAAAD7+7b8=")</f>
        <v>#VALUE!</v>
      </c>
      <c r="GK1" t="e">
        <f>AND(Teoria!J14,"AAAAAD7+7cA=")</f>
        <v>#VALUE!</v>
      </c>
      <c r="GL1" t="e">
        <f>AND(Teoria!K14,"AAAAAD7+7cE=")</f>
        <v>#VALUE!</v>
      </c>
      <c r="GM1" t="e">
        <f>AND(Teoria!L14,"AAAAAD7+7cI=")</f>
        <v>#VALUE!</v>
      </c>
      <c r="GN1" t="e">
        <f>AND(Teoria!M14,"AAAAAD7+7cM=")</f>
        <v>#VALUE!</v>
      </c>
      <c r="GO1">
        <f>IF(Teoria!15:15,"AAAAAD7+7cQ=",0)</f>
        <v>0</v>
      </c>
      <c r="GP1" t="e">
        <f>AND(Teoria!A15,"AAAAAD7+7cU=")</f>
        <v>#VALUE!</v>
      </c>
      <c r="GQ1" t="e">
        <f>AND(Teoria!B15,"AAAAAD7+7cY=")</f>
        <v>#VALUE!</v>
      </c>
      <c r="GR1" t="e">
        <f>AND(Teoria!C15,"AAAAAD7+7cc=")</f>
        <v>#VALUE!</v>
      </c>
      <c r="GS1" t="e">
        <f>AND(Teoria!D15,"AAAAAD7+7cg=")</f>
        <v>#VALUE!</v>
      </c>
      <c r="GT1" t="e">
        <f>AND(Teoria!E15,"AAAAAD7+7ck=")</f>
        <v>#VALUE!</v>
      </c>
      <c r="GU1" t="e">
        <f>AND(Teoria!F15,"AAAAAD7+7co=")</f>
        <v>#VALUE!</v>
      </c>
      <c r="GV1" t="e">
        <f>AND(Teoria!G15,"AAAAAD7+7cs=")</f>
        <v>#VALUE!</v>
      </c>
      <c r="GW1" t="e">
        <f>AND(Teoria!H15,"AAAAAD7+7cw=")</f>
        <v>#VALUE!</v>
      </c>
      <c r="GX1" t="e">
        <f>AND(Teoria!I15,"AAAAAD7+7c0=")</f>
        <v>#VALUE!</v>
      </c>
      <c r="GY1" t="e">
        <f>AND(Teoria!J15,"AAAAAD7+7c4=")</f>
        <v>#VALUE!</v>
      </c>
      <c r="GZ1" t="e">
        <f>AND(Teoria!K15,"AAAAAD7+7c8=")</f>
        <v>#VALUE!</v>
      </c>
      <c r="HA1" t="e">
        <f>AND(Teoria!L15,"AAAAAD7+7dA=")</f>
        <v>#VALUE!</v>
      </c>
      <c r="HB1" t="e">
        <f>AND(Teoria!M15,"AAAAAD7+7dE=")</f>
        <v>#VALUE!</v>
      </c>
      <c r="HC1">
        <f>IF(Teoria!16:16,"AAAAAD7+7dI=",0)</f>
        <v>0</v>
      </c>
      <c r="HD1" t="e">
        <f>AND(Teoria!A16,"AAAAAD7+7dM=")</f>
        <v>#VALUE!</v>
      </c>
      <c r="HE1" t="e">
        <f>AND(Teoria!B16,"AAAAAD7+7dQ=")</f>
        <v>#VALUE!</v>
      </c>
      <c r="HF1" t="e">
        <f>AND(Teoria!C16,"AAAAAD7+7dU=")</f>
        <v>#VALUE!</v>
      </c>
      <c r="HG1" t="e">
        <f>AND(Teoria!D16,"AAAAAD7+7dY=")</f>
        <v>#VALUE!</v>
      </c>
      <c r="HH1" t="e">
        <f>AND(Teoria!E16,"AAAAAD7+7dc=")</f>
        <v>#VALUE!</v>
      </c>
      <c r="HI1" t="e">
        <f>AND(Teoria!F16,"AAAAAD7+7dg=")</f>
        <v>#VALUE!</v>
      </c>
      <c r="HJ1" t="e">
        <f>AND(Teoria!G16,"AAAAAD7+7dk=")</f>
        <v>#VALUE!</v>
      </c>
      <c r="HK1" t="e">
        <f>AND(Teoria!H16,"AAAAAD7+7do=")</f>
        <v>#VALUE!</v>
      </c>
      <c r="HL1" t="e">
        <f>AND(Teoria!I16,"AAAAAD7+7ds=")</f>
        <v>#VALUE!</v>
      </c>
      <c r="HM1" t="e">
        <f>AND(Teoria!J16,"AAAAAD7+7dw=")</f>
        <v>#VALUE!</v>
      </c>
      <c r="HN1" t="e">
        <f>AND(Teoria!K16,"AAAAAD7+7d0=")</f>
        <v>#VALUE!</v>
      </c>
      <c r="HO1" t="e">
        <f>AND(Teoria!L16,"AAAAAD7+7d4=")</f>
        <v>#VALUE!</v>
      </c>
      <c r="HP1" t="e">
        <f>AND(Teoria!M16,"AAAAAD7+7d8=")</f>
        <v>#VALUE!</v>
      </c>
      <c r="HQ1">
        <f>IF(Teoria!17:17,"AAAAAD7+7eA=",0)</f>
        <v>0</v>
      </c>
      <c r="HR1" t="e">
        <f>AND(Teoria!A17,"AAAAAD7+7eE=")</f>
        <v>#VALUE!</v>
      </c>
      <c r="HS1" t="e">
        <f>AND(Teoria!B17,"AAAAAD7+7eI=")</f>
        <v>#VALUE!</v>
      </c>
      <c r="HT1" t="e">
        <f>AND(Teoria!C17,"AAAAAD7+7eM=")</f>
        <v>#VALUE!</v>
      </c>
      <c r="HU1" t="e">
        <f>AND(Teoria!D17,"AAAAAD7+7eQ=")</f>
        <v>#VALUE!</v>
      </c>
      <c r="HV1" t="e">
        <f>AND(Teoria!E17,"AAAAAD7+7eU=")</f>
        <v>#VALUE!</v>
      </c>
      <c r="HW1" t="e">
        <f>AND(Teoria!F17,"AAAAAD7+7eY=")</f>
        <v>#VALUE!</v>
      </c>
      <c r="HX1" t="e">
        <f>AND(Teoria!G17,"AAAAAD7+7ec=")</f>
        <v>#VALUE!</v>
      </c>
      <c r="HY1" t="e">
        <f>AND(Teoria!H17,"AAAAAD7+7eg=")</f>
        <v>#VALUE!</v>
      </c>
      <c r="HZ1" t="e">
        <f>AND(Teoria!I17,"AAAAAD7+7ek=")</f>
        <v>#VALUE!</v>
      </c>
      <c r="IA1" t="e">
        <f>AND(Teoria!J17,"AAAAAD7+7eo=")</f>
        <v>#VALUE!</v>
      </c>
      <c r="IB1" t="e">
        <f>AND(Teoria!K17,"AAAAAD7+7es=")</f>
        <v>#VALUE!</v>
      </c>
      <c r="IC1" t="e">
        <f>AND(Teoria!L17,"AAAAAD7+7ew=")</f>
        <v>#VALUE!</v>
      </c>
      <c r="ID1" t="e">
        <f>AND(Teoria!M17,"AAAAAD7+7e0=")</f>
        <v>#VALUE!</v>
      </c>
      <c r="IE1">
        <f>IF(Teoria!18:18,"AAAAAD7+7e4=",0)</f>
        <v>0</v>
      </c>
      <c r="IF1" t="e">
        <f>AND(Teoria!A18,"AAAAAD7+7e8=")</f>
        <v>#VALUE!</v>
      </c>
      <c r="IG1" t="e">
        <f>AND(Teoria!B18,"AAAAAD7+7fA=")</f>
        <v>#VALUE!</v>
      </c>
      <c r="IH1" t="e">
        <f>AND(Teoria!C18,"AAAAAD7+7fE=")</f>
        <v>#VALUE!</v>
      </c>
      <c r="II1" t="e">
        <f>AND(Teoria!D18,"AAAAAD7+7fI=")</f>
        <v>#VALUE!</v>
      </c>
      <c r="IJ1" t="e">
        <f>AND(Teoria!E18,"AAAAAD7+7fM=")</f>
        <v>#VALUE!</v>
      </c>
      <c r="IK1" t="e">
        <f>AND(Teoria!F18,"AAAAAD7+7fQ=")</f>
        <v>#VALUE!</v>
      </c>
      <c r="IL1" t="e">
        <f>AND(Teoria!G18,"AAAAAD7+7fU=")</f>
        <v>#VALUE!</v>
      </c>
      <c r="IM1" t="e">
        <f>AND(Teoria!H18,"AAAAAD7+7fY=")</f>
        <v>#VALUE!</v>
      </c>
      <c r="IN1" t="e">
        <f>AND(Teoria!I18,"AAAAAD7+7fc=")</f>
        <v>#VALUE!</v>
      </c>
      <c r="IO1" t="e">
        <f>AND(Teoria!J18,"AAAAAD7+7fg=")</f>
        <v>#VALUE!</v>
      </c>
      <c r="IP1" t="e">
        <f>AND(Teoria!K18,"AAAAAD7+7fk=")</f>
        <v>#VALUE!</v>
      </c>
      <c r="IQ1" t="e">
        <f>AND(Teoria!L18,"AAAAAD7+7fo=")</f>
        <v>#VALUE!</v>
      </c>
      <c r="IR1" t="e">
        <f>AND(Teoria!M18,"AAAAAD7+7fs=")</f>
        <v>#VALUE!</v>
      </c>
      <c r="IS1">
        <f>IF(Teoria!19:19,"AAAAAD7+7fw=",0)</f>
        <v>0</v>
      </c>
      <c r="IT1" t="e">
        <f>AND(Teoria!A19,"AAAAAD7+7f0=")</f>
        <v>#VALUE!</v>
      </c>
      <c r="IU1" t="e">
        <f>AND(Teoria!B19,"AAAAAD7+7f4=")</f>
        <v>#VALUE!</v>
      </c>
      <c r="IV1" t="e">
        <f>AND(Teoria!C19,"AAAAAD7+7f8=")</f>
        <v>#VALUE!</v>
      </c>
    </row>
    <row r="2" spans="1:256" ht="12.75">
      <c r="A2" t="e">
        <f>AND(Teoria!D19,"AAAAAHvf9QA=")</f>
        <v>#VALUE!</v>
      </c>
      <c r="B2" t="e">
        <f>AND(Teoria!E19,"AAAAAHvf9QE=")</f>
        <v>#VALUE!</v>
      </c>
      <c r="C2" t="e">
        <f>AND(Teoria!F19,"AAAAAHvf9QI=")</f>
        <v>#VALUE!</v>
      </c>
      <c r="D2" t="e">
        <f>AND(Teoria!G19,"AAAAAHvf9QM=")</f>
        <v>#VALUE!</v>
      </c>
      <c r="E2" t="e">
        <f>AND(Teoria!H19,"AAAAAHvf9QQ=")</f>
        <v>#VALUE!</v>
      </c>
      <c r="F2" t="e">
        <f>AND(Teoria!I19,"AAAAAHvf9QU=")</f>
        <v>#VALUE!</v>
      </c>
      <c r="G2" t="e">
        <f>AND(Teoria!J19,"AAAAAHvf9QY=")</f>
        <v>#VALUE!</v>
      </c>
      <c r="H2" t="e">
        <f>AND(Teoria!K19,"AAAAAHvf9Qc=")</f>
        <v>#VALUE!</v>
      </c>
      <c r="I2" t="e">
        <f>AND(Teoria!L19,"AAAAAHvf9Qg=")</f>
        <v>#VALUE!</v>
      </c>
      <c r="J2" t="e">
        <f>AND(Teoria!M19,"AAAAAHvf9Qk=")</f>
        <v>#VALUE!</v>
      </c>
      <c r="K2" t="str">
        <f>IF(Teoria!20:20,"AAAAAHvf9Qo=",0)</f>
        <v>AAAAAHvf9Qo=</v>
      </c>
      <c r="L2" t="e">
        <f>AND(Teoria!A20,"AAAAAHvf9Qs=")</f>
        <v>#VALUE!</v>
      </c>
      <c r="M2" t="e">
        <f>AND(Teoria!B20,"AAAAAHvf9Qw=")</f>
        <v>#VALUE!</v>
      </c>
      <c r="N2" t="e">
        <f>AND(Teoria!C20,"AAAAAHvf9Q0=")</f>
        <v>#VALUE!</v>
      </c>
      <c r="O2" t="e">
        <f>AND(Teoria!D20,"AAAAAHvf9Q4=")</f>
        <v>#VALUE!</v>
      </c>
      <c r="P2" t="e">
        <f>AND(Teoria!E20,"AAAAAHvf9Q8=")</f>
        <v>#VALUE!</v>
      </c>
      <c r="Q2" t="e">
        <f>AND(Teoria!F20,"AAAAAHvf9RA=")</f>
        <v>#VALUE!</v>
      </c>
      <c r="R2" t="e">
        <f>AND(Teoria!G20,"AAAAAHvf9RE=")</f>
        <v>#VALUE!</v>
      </c>
      <c r="S2" t="e">
        <f>AND(Teoria!H20,"AAAAAHvf9RI=")</f>
        <v>#VALUE!</v>
      </c>
      <c r="T2" t="e">
        <f>AND(Teoria!I20,"AAAAAHvf9RM=")</f>
        <v>#VALUE!</v>
      </c>
      <c r="U2" t="e">
        <f>AND(Teoria!J20,"AAAAAHvf9RQ=")</f>
        <v>#VALUE!</v>
      </c>
      <c r="V2" t="e">
        <f>AND(Teoria!K20,"AAAAAHvf9RU=")</f>
        <v>#VALUE!</v>
      </c>
      <c r="W2" t="e">
        <f>AND(Teoria!L20,"AAAAAHvf9RY=")</f>
        <v>#VALUE!</v>
      </c>
      <c r="X2" t="e">
        <f>AND(Teoria!M20,"AAAAAHvf9Rc=")</f>
        <v>#VALUE!</v>
      </c>
      <c r="Y2">
        <f>IF(Teoria!21:21,"AAAAAHvf9Rg=",0)</f>
        <v>0</v>
      </c>
      <c r="Z2" t="e">
        <f>AND(Teoria!A21,"AAAAAHvf9Rk=")</f>
        <v>#VALUE!</v>
      </c>
      <c r="AA2" t="e">
        <f>AND(Teoria!B21,"AAAAAHvf9Ro=")</f>
        <v>#VALUE!</v>
      </c>
      <c r="AB2" t="e">
        <f>AND(Teoria!C21,"AAAAAHvf9Rs=")</f>
        <v>#VALUE!</v>
      </c>
      <c r="AC2" t="e">
        <f>AND(Teoria!D21,"AAAAAHvf9Rw=")</f>
        <v>#VALUE!</v>
      </c>
      <c r="AD2" t="e">
        <f>AND(Teoria!E21,"AAAAAHvf9R0=")</f>
        <v>#VALUE!</v>
      </c>
      <c r="AE2" t="e">
        <f>AND(Teoria!F21,"AAAAAHvf9R4=")</f>
        <v>#VALUE!</v>
      </c>
      <c r="AF2" t="e">
        <f>AND(Teoria!G21,"AAAAAHvf9R8=")</f>
        <v>#VALUE!</v>
      </c>
      <c r="AG2" t="e">
        <f>AND(Teoria!H21,"AAAAAHvf9SA=")</f>
        <v>#VALUE!</v>
      </c>
      <c r="AH2" t="e">
        <f>AND(Teoria!I21,"AAAAAHvf9SE=")</f>
        <v>#VALUE!</v>
      </c>
      <c r="AI2" t="e">
        <f>AND(Teoria!J21,"AAAAAHvf9SI=")</f>
        <v>#VALUE!</v>
      </c>
      <c r="AJ2" t="e">
        <f>AND(Teoria!K21,"AAAAAHvf9SM=")</f>
        <v>#VALUE!</v>
      </c>
      <c r="AK2" t="e">
        <f>AND(Teoria!L21,"AAAAAHvf9SQ=")</f>
        <v>#VALUE!</v>
      </c>
      <c r="AL2" t="e">
        <f>AND(Teoria!M21,"AAAAAHvf9SU=")</f>
        <v>#VALUE!</v>
      </c>
      <c r="AM2">
        <f>IF(Teoria!22:22,"AAAAAHvf9SY=",0)</f>
        <v>0</v>
      </c>
      <c r="AN2" t="e">
        <f>AND(Teoria!A22,"AAAAAHvf9Sc=")</f>
        <v>#VALUE!</v>
      </c>
      <c r="AO2" t="e">
        <f>AND(Teoria!B22,"AAAAAHvf9Sg=")</f>
        <v>#VALUE!</v>
      </c>
      <c r="AP2" t="e">
        <f>AND(Teoria!C22,"AAAAAHvf9Sk=")</f>
        <v>#VALUE!</v>
      </c>
      <c r="AQ2" t="e">
        <f>AND(Teoria!D22,"AAAAAHvf9So=")</f>
        <v>#VALUE!</v>
      </c>
      <c r="AR2" t="e">
        <f>AND(Teoria!E22,"AAAAAHvf9Ss=")</f>
        <v>#VALUE!</v>
      </c>
      <c r="AS2" t="e">
        <f>AND(Teoria!F22,"AAAAAHvf9Sw=")</f>
        <v>#VALUE!</v>
      </c>
      <c r="AT2" t="e">
        <f>AND(Teoria!G22,"AAAAAHvf9S0=")</f>
        <v>#VALUE!</v>
      </c>
      <c r="AU2" t="e">
        <f>AND(Teoria!H22,"AAAAAHvf9S4=")</f>
        <v>#VALUE!</v>
      </c>
      <c r="AV2" t="e">
        <f>AND(Teoria!I22,"AAAAAHvf9S8=")</f>
        <v>#VALUE!</v>
      </c>
      <c r="AW2" t="e">
        <f>AND(Teoria!J22,"AAAAAHvf9TA=")</f>
        <v>#VALUE!</v>
      </c>
      <c r="AX2" t="e">
        <f>AND(Teoria!K22,"AAAAAHvf9TE=")</f>
        <v>#VALUE!</v>
      </c>
      <c r="AY2" t="e">
        <f>AND(Teoria!L22,"AAAAAHvf9TI=")</f>
        <v>#VALUE!</v>
      </c>
      <c r="AZ2" t="e">
        <f>AND(Teoria!M22,"AAAAAHvf9TM=")</f>
        <v>#VALUE!</v>
      </c>
      <c r="BA2">
        <f>IF(Teoria!23:23,"AAAAAHvf9TQ=",0)</f>
        <v>0</v>
      </c>
      <c r="BB2" t="e">
        <f>AND(Teoria!A23,"AAAAAHvf9TU=")</f>
        <v>#VALUE!</v>
      </c>
      <c r="BC2" t="e">
        <f>AND(Teoria!B23,"AAAAAHvf9TY=")</f>
        <v>#VALUE!</v>
      </c>
      <c r="BD2" t="e">
        <f>AND(Teoria!C23,"AAAAAHvf9Tc=")</f>
        <v>#VALUE!</v>
      </c>
      <c r="BE2" t="e">
        <f>AND(Teoria!D23,"AAAAAHvf9Tg=")</f>
        <v>#VALUE!</v>
      </c>
      <c r="BF2" t="e">
        <f>AND(Teoria!E23,"AAAAAHvf9Tk=")</f>
        <v>#VALUE!</v>
      </c>
      <c r="BG2" t="e">
        <f>AND(Teoria!F23,"AAAAAHvf9To=")</f>
        <v>#VALUE!</v>
      </c>
      <c r="BH2" t="e">
        <f>AND(Teoria!G23,"AAAAAHvf9Ts=")</f>
        <v>#VALUE!</v>
      </c>
      <c r="BI2" t="e">
        <f>AND(Teoria!H23,"AAAAAHvf9Tw=")</f>
        <v>#VALUE!</v>
      </c>
      <c r="BJ2" t="e">
        <f>AND(Teoria!I23,"AAAAAHvf9T0=")</f>
        <v>#VALUE!</v>
      </c>
      <c r="BK2" t="e">
        <f>AND(Teoria!J23,"AAAAAHvf9T4=")</f>
        <v>#VALUE!</v>
      </c>
      <c r="BL2" t="e">
        <f>AND(Teoria!K23,"AAAAAHvf9T8=")</f>
        <v>#VALUE!</v>
      </c>
      <c r="BM2" t="e">
        <f>AND(Teoria!L23,"AAAAAHvf9UA=")</f>
        <v>#VALUE!</v>
      </c>
      <c r="BN2" t="e">
        <f>AND(Teoria!M23,"AAAAAHvf9UE=")</f>
        <v>#VALUE!</v>
      </c>
      <c r="BO2">
        <f>IF(Teoria!24:24,"AAAAAHvf9UI=",0)</f>
        <v>0</v>
      </c>
      <c r="BP2" t="e">
        <f>AND(Teoria!A24,"AAAAAHvf9UM=")</f>
        <v>#VALUE!</v>
      </c>
      <c r="BQ2" t="e">
        <f>AND(Teoria!B24,"AAAAAHvf9UQ=")</f>
        <v>#VALUE!</v>
      </c>
      <c r="BR2" t="e">
        <f>AND(Teoria!C24,"AAAAAHvf9UU=")</f>
        <v>#VALUE!</v>
      </c>
      <c r="BS2" t="e">
        <f>AND(Teoria!D24,"AAAAAHvf9UY=")</f>
        <v>#VALUE!</v>
      </c>
      <c r="BT2" t="e">
        <f>AND(Teoria!E24,"AAAAAHvf9Uc=")</f>
        <v>#VALUE!</v>
      </c>
      <c r="BU2" t="e">
        <f>AND(Teoria!F24,"AAAAAHvf9Ug=")</f>
        <v>#VALUE!</v>
      </c>
      <c r="BV2" t="e">
        <f>AND(Teoria!G24,"AAAAAHvf9Uk=")</f>
        <v>#VALUE!</v>
      </c>
      <c r="BW2" t="e">
        <f>AND(Teoria!H24,"AAAAAHvf9Uo=")</f>
        <v>#VALUE!</v>
      </c>
      <c r="BX2" t="e">
        <f>AND(Teoria!I24,"AAAAAHvf9Us=")</f>
        <v>#VALUE!</v>
      </c>
      <c r="BY2" t="e">
        <f>AND(Teoria!J24,"AAAAAHvf9Uw=")</f>
        <v>#VALUE!</v>
      </c>
      <c r="BZ2" t="e">
        <f>AND(Teoria!K24,"AAAAAHvf9U0=")</f>
        <v>#VALUE!</v>
      </c>
      <c r="CA2" t="e">
        <f>AND(Teoria!L24,"AAAAAHvf9U4=")</f>
        <v>#VALUE!</v>
      </c>
      <c r="CB2" t="e">
        <f>AND(Teoria!M24,"AAAAAHvf9U8=")</f>
        <v>#VALUE!</v>
      </c>
      <c r="CC2">
        <f>IF(Teoria!25:25,"AAAAAHvf9VA=",0)</f>
        <v>0</v>
      </c>
      <c r="CD2" t="e">
        <f>AND(Teoria!A25,"AAAAAHvf9VE=")</f>
        <v>#VALUE!</v>
      </c>
      <c r="CE2" t="e">
        <f>AND(Teoria!B25,"AAAAAHvf9VI=")</f>
        <v>#VALUE!</v>
      </c>
      <c r="CF2" t="e">
        <f>AND(Teoria!C25,"AAAAAHvf9VM=")</f>
        <v>#VALUE!</v>
      </c>
      <c r="CG2" t="e">
        <f>AND(Teoria!D25,"AAAAAHvf9VQ=")</f>
        <v>#VALUE!</v>
      </c>
      <c r="CH2" t="e">
        <f>AND(Teoria!E25,"AAAAAHvf9VU=")</f>
        <v>#VALUE!</v>
      </c>
      <c r="CI2" t="e">
        <f>AND(Teoria!F25,"AAAAAHvf9VY=")</f>
        <v>#VALUE!</v>
      </c>
      <c r="CJ2" t="e">
        <f>AND(Teoria!G25,"AAAAAHvf9Vc=")</f>
        <v>#VALUE!</v>
      </c>
      <c r="CK2" t="e">
        <f>AND(Teoria!H25,"AAAAAHvf9Vg=")</f>
        <v>#VALUE!</v>
      </c>
      <c r="CL2" t="e">
        <f>AND(Teoria!I25,"AAAAAHvf9Vk=")</f>
        <v>#VALUE!</v>
      </c>
      <c r="CM2" t="e">
        <f>AND(Teoria!J25,"AAAAAHvf9Vo=")</f>
        <v>#VALUE!</v>
      </c>
      <c r="CN2" t="e">
        <f>AND(Teoria!K25,"AAAAAHvf9Vs=")</f>
        <v>#VALUE!</v>
      </c>
      <c r="CO2" t="e">
        <f>AND(Teoria!L25,"AAAAAHvf9Vw=")</f>
        <v>#VALUE!</v>
      </c>
      <c r="CP2" t="e">
        <f>AND(Teoria!M25,"AAAAAHvf9V0=")</f>
        <v>#VALUE!</v>
      </c>
      <c r="CQ2">
        <f>IF(Teoria!26:26,"AAAAAHvf9V4=",0)</f>
        <v>0</v>
      </c>
      <c r="CR2" t="e">
        <f>AND(Teoria!A26,"AAAAAHvf9V8=")</f>
        <v>#VALUE!</v>
      </c>
      <c r="CS2" t="e">
        <f>AND(Teoria!B26,"AAAAAHvf9WA=")</f>
        <v>#VALUE!</v>
      </c>
      <c r="CT2" t="e">
        <f>AND(Teoria!C26,"AAAAAHvf9WE=")</f>
        <v>#VALUE!</v>
      </c>
      <c r="CU2" t="e">
        <f>AND(Teoria!D26,"AAAAAHvf9WI=")</f>
        <v>#VALUE!</v>
      </c>
      <c r="CV2" t="e">
        <f>AND(Teoria!E26,"AAAAAHvf9WM=")</f>
        <v>#VALUE!</v>
      </c>
      <c r="CW2" t="e">
        <f>AND(Teoria!F26,"AAAAAHvf9WQ=")</f>
        <v>#VALUE!</v>
      </c>
      <c r="CX2" t="e">
        <f>AND(Teoria!G26,"AAAAAHvf9WU=")</f>
        <v>#VALUE!</v>
      </c>
      <c r="CY2" t="e">
        <f>AND(Teoria!H26,"AAAAAHvf9WY=")</f>
        <v>#VALUE!</v>
      </c>
      <c r="CZ2" t="e">
        <f>AND(Teoria!I26,"AAAAAHvf9Wc=")</f>
        <v>#VALUE!</v>
      </c>
      <c r="DA2" t="e">
        <f>AND(Teoria!J26,"AAAAAHvf9Wg=")</f>
        <v>#VALUE!</v>
      </c>
      <c r="DB2" t="e">
        <f>AND(Teoria!K26,"AAAAAHvf9Wk=")</f>
        <v>#VALUE!</v>
      </c>
      <c r="DC2" t="e">
        <f>AND(Teoria!L26,"AAAAAHvf9Wo=")</f>
        <v>#VALUE!</v>
      </c>
      <c r="DD2" t="e">
        <f>AND(Teoria!M26,"AAAAAHvf9Ws=")</f>
        <v>#VALUE!</v>
      </c>
      <c r="DE2">
        <f>IF(Teoria!27:27,"AAAAAHvf9Ww=",0)</f>
        <v>0</v>
      </c>
      <c r="DF2" t="e">
        <f>AND(Teoria!A27,"AAAAAHvf9W0=")</f>
        <v>#VALUE!</v>
      </c>
      <c r="DG2" t="e">
        <f>AND(Teoria!B27,"AAAAAHvf9W4=")</f>
        <v>#VALUE!</v>
      </c>
      <c r="DH2" t="e">
        <f>AND(Teoria!C27,"AAAAAHvf9W8=")</f>
        <v>#VALUE!</v>
      </c>
      <c r="DI2" t="e">
        <f>AND(Teoria!D27,"AAAAAHvf9XA=")</f>
        <v>#VALUE!</v>
      </c>
      <c r="DJ2" t="e">
        <f>AND(Teoria!E27,"AAAAAHvf9XE=")</f>
        <v>#VALUE!</v>
      </c>
      <c r="DK2" t="e">
        <f>AND(Teoria!F27,"AAAAAHvf9XI=")</f>
        <v>#VALUE!</v>
      </c>
      <c r="DL2" t="e">
        <f>AND(Teoria!G27,"AAAAAHvf9XM=")</f>
        <v>#VALUE!</v>
      </c>
      <c r="DM2" t="e">
        <f>AND(Teoria!H27,"AAAAAHvf9XQ=")</f>
        <v>#VALUE!</v>
      </c>
      <c r="DN2" t="e">
        <f>AND(Teoria!I27,"AAAAAHvf9XU=")</f>
        <v>#VALUE!</v>
      </c>
      <c r="DO2" t="e">
        <f>AND(Teoria!J27,"AAAAAHvf9XY=")</f>
        <v>#VALUE!</v>
      </c>
      <c r="DP2" t="e">
        <f>AND(Teoria!K27,"AAAAAHvf9Xc=")</f>
        <v>#VALUE!</v>
      </c>
      <c r="DQ2" t="e">
        <f>AND(Teoria!L27,"AAAAAHvf9Xg=")</f>
        <v>#VALUE!</v>
      </c>
      <c r="DR2" t="e">
        <f>AND(Teoria!M27,"AAAAAHvf9Xk=")</f>
        <v>#VALUE!</v>
      </c>
      <c r="DS2">
        <f>IF(Teoria!28:28,"AAAAAHvf9Xo=",0)</f>
        <v>0</v>
      </c>
      <c r="DT2" t="e">
        <f>AND(Teoria!A28,"AAAAAHvf9Xs=")</f>
        <v>#VALUE!</v>
      </c>
      <c r="DU2" t="e">
        <f>AND(Teoria!B28,"AAAAAHvf9Xw=")</f>
        <v>#VALUE!</v>
      </c>
      <c r="DV2" t="e">
        <f>AND(Teoria!C28,"AAAAAHvf9X0=")</f>
        <v>#VALUE!</v>
      </c>
      <c r="DW2" t="e">
        <f>AND(Teoria!D28,"AAAAAHvf9X4=")</f>
        <v>#VALUE!</v>
      </c>
      <c r="DX2" t="e">
        <f>AND(Teoria!E28,"AAAAAHvf9X8=")</f>
        <v>#VALUE!</v>
      </c>
      <c r="DY2" t="e">
        <f>AND(Teoria!F28,"AAAAAHvf9YA=")</f>
        <v>#VALUE!</v>
      </c>
      <c r="DZ2" t="e">
        <f>AND(Teoria!G28,"AAAAAHvf9YE=")</f>
        <v>#VALUE!</v>
      </c>
      <c r="EA2" t="e">
        <f>AND(Teoria!H28,"AAAAAHvf9YI=")</f>
        <v>#VALUE!</v>
      </c>
      <c r="EB2" t="e">
        <f>AND(Teoria!I28,"AAAAAHvf9YM=")</f>
        <v>#VALUE!</v>
      </c>
      <c r="EC2" t="e">
        <f>AND(Teoria!J28,"AAAAAHvf9YQ=")</f>
        <v>#VALUE!</v>
      </c>
      <c r="ED2" t="e">
        <f>AND(Teoria!K28,"AAAAAHvf9YU=")</f>
        <v>#VALUE!</v>
      </c>
      <c r="EE2" t="e">
        <f>AND(Teoria!L28,"AAAAAHvf9YY=")</f>
        <v>#VALUE!</v>
      </c>
      <c r="EF2" t="e">
        <f>AND(Teoria!M28,"AAAAAHvf9Yc=")</f>
        <v>#VALUE!</v>
      </c>
      <c r="EG2">
        <f>IF(Teoria!29:29,"AAAAAHvf9Yg=",0)</f>
        <v>0</v>
      </c>
      <c r="EH2" t="e">
        <f>AND(Teoria!A29,"AAAAAHvf9Yk=")</f>
        <v>#VALUE!</v>
      </c>
      <c r="EI2" t="e">
        <f>AND(Teoria!B29,"AAAAAHvf9Yo=")</f>
        <v>#VALUE!</v>
      </c>
      <c r="EJ2" t="e">
        <f>AND(Teoria!C29,"AAAAAHvf9Ys=")</f>
        <v>#VALUE!</v>
      </c>
      <c r="EK2" t="e">
        <f>AND(Teoria!D29,"AAAAAHvf9Yw=")</f>
        <v>#VALUE!</v>
      </c>
      <c r="EL2" t="e">
        <f>AND(Teoria!E29,"AAAAAHvf9Y0=")</f>
        <v>#VALUE!</v>
      </c>
      <c r="EM2" t="e">
        <f>AND(Teoria!F29,"AAAAAHvf9Y4=")</f>
        <v>#VALUE!</v>
      </c>
      <c r="EN2" t="e">
        <f>AND(Teoria!G29,"AAAAAHvf9Y8=")</f>
        <v>#VALUE!</v>
      </c>
      <c r="EO2" t="e">
        <f>AND(Teoria!H29,"AAAAAHvf9ZA=")</f>
        <v>#VALUE!</v>
      </c>
      <c r="EP2" t="e">
        <f>AND(Teoria!I29,"AAAAAHvf9ZE=")</f>
        <v>#VALUE!</v>
      </c>
      <c r="EQ2" t="e">
        <f>AND(Teoria!J29,"AAAAAHvf9ZI=")</f>
        <v>#VALUE!</v>
      </c>
      <c r="ER2" t="e">
        <f>AND(Teoria!K29,"AAAAAHvf9ZM=")</f>
        <v>#VALUE!</v>
      </c>
      <c r="ES2" t="e">
        <f>AND(Teoria!L29,"AAAAAHvf9ZQ=")</f>
        <v>#VALUE!</v>
      </c>
      <c r="ET2" t="e">
        <f>AND(Teoria!M29,"AAAAAHvf9ZU=")</f>
        <v>#VALUE!</v>
      </c>
      <c r="EU2">
        <f>IF(Teoria!30:30,"AAAAAHvf9ZY=",0)</f>
        <v>0</v>
      </c>
      <c r="EV2" t="e">
        <f>AND(Teoria!A30,"AAAAAHvf9Zc=")</f>
        <v>#VALUE!</v>
      </c>
      <c r="EW2" t="e">
        <f>AND(Teoria!B30,"AAAAAHvf9Zg=")</f>
        <v>#VALUE!</v>
      </c>
      <c r="EX2" t="e">
        <f>AND(Teoria!C30,"AAAAAHvf9Zk=")</f>
        <v>#VALUE!</v>
      </c>
      <c r="EY2" t="e">
        <f>AND(Teoria!D30,"AAAAAHvf9Zo=")</f>
        <v>#VALUE!</v>
      </c>
      <c r="EZ2" t="e">
        <f>AND(Teoria!E30,"AAAAAHvf9Zs=")</f>
        <v>#VALUE!</v>
      </c>
      <c r="FA2" t="e">
        <f>AND(Teoria!F30,"AAAAAHvf9Zw=")</f>
        <v>#VALUE!</v>
      </c>
      <c r="FB2" t="e">
        <f>AND(Teoria!G30,"AAAAAHvf9Z0=")</f>
        <v>#VALUE!</v>
      </c>
      <c r="FC2" t="e">
        <f>AND(Teoria!H30,"AAAAAHvf9Z4=")</f>
        <v>#VALUE!</v>
      </c>
      <c r="FD2" t="e">
        <f>AND(Teoria!I30,"AAAAAHvf9Z8=")</f>
        <v>#VALUE!</v>
      </c>
      <c r="FE2" t="e">
        <f>AND(Teoria!J30,"AAAAAHvf9aA=")</f>
        <v>#VALUE!</v>
      </c>
      <c r="FF2" t="e">
        <f>AND(Teoria!K30,"AAAAAHvf9aE=")</f>
        <v>#VALUE!</v>
      </c>
      <c r="FG2" t="e">
        <f>AND(Teoria!L30,"AAAAAHvf9aI=")</f>
        <v>#VALUE!</v>
      </c>
      <c r="FH2" t="e">
        <f>AND(Teoria!M30,"AAAAAHvf9aM=")</f>
        <v>#VALUE!</v>
      </c>
      <c r="FI2">
        <f>IF(Teoria!31:31,"AAAAAHvf9aQ=",0)</f>
        <v>0</v>
      </c>
      <c r="FJ2">
        <f>IF(Teoria!32:32,"AAAAAHvf9aU=",0)</f>
        <v>0</v>
      </c>
      <c r="FK2" t="e">
        <f>IF(Teoria!A:A,"AAAAAHvf9aY=",0)</f>
        <v>#VALUE!</v>
      </c>
      <c r="FL2">
        <f>IF(Teoria!B:B,"AAAAAHvf9ac=",0)</f>
        <v>0</v>
      </c>
      <c r="FM2">
        <f>IF(Teoria!C:C,"AAAAAHvf9ag=",0)</f>
        <v>0</v>
      </c>
      <c r="FN2">
        <f>IF(Teoria!D:D,"AAAAAHvf9ak=",0)</f>
        <v>0</v>
      </c>
      <c r="FO2">
        <f>IF(Teoria!E:E,"AAAAAHvf9ao=",0)</f>
        <v>0</v>
      </c>
      <c r="FP2">
        <f>IF(Teoria!F:F,"AAAAAHvf9as=",0)</f>
        <v>0</v>
      </c>
      <c r="FQ2">
        <f>IF(Teoria!G:G,"AAAAAHvf9aw=",0)</f>
        <v>0</v>
      </c>
      <c r="FR2">
        <f>IF(Teoria!H:H,"AAAAAHvf9a0=",0)</f>
        <v>0</v>
      </c>
      <c r="FS2">
        <f>IF(Teoria!I:I,"AAAAAHvf9a4=",0)</f>
        <v>0</v>
      </c>
      <c r="FT2">
        <f>IF(Teoria!J:J,"AAAAAHvf9a8=",0)</f>
        <v>0</v>
      </c>
      <c r="FU2">
        <f>IF(Teoria!K:K,"AAAAAHvf9bA=",0)</f>
        <v>0</v>
      </c>
      <c r="FV2">
        <f>IF(Teoria!L:L,"AAAAAHvf9bE=",0)</f>
        <v>0</v>
      </c>
      <c r="FW2">
        <f>IF(Teoria!M:M,"AAAAAHvf9bI=",0)</f>
        <v>0</v>
      </c>
      <c r="FX2">
        <f>IF(Prácticas!1:1,"AAAAAHvf9bM=",0)</f>
        <v>0</v>
      </c>
      <c r="FY2" t="e">
        <f>AND(Prácticas!A1,"AAAAAHvf9bQ=")</f>
        <v>#VALUE!</v>
      </c>
      <c r="FZ2" t="e">
        <f>AND(Prácticas!B1,"AAAAAHvf9bU=")</f>
        <v>#VALUE!</v>
      </c>
      <c r="GA2" t="e">
        <f>AND(Prácticas!C1,"AAAAAHvf9bY=")</f>
        <v>#VALUE!</v>
      </c>
      <c r="GB2" t="e">
        <f>AND(Prácticas!D1,"AAAAAHvf9bc=")</f>
        <v>#VALUE!</v>
      </c>
      <c r="GC2" t="e">
        <f>AND(Prácticas!E1,"AAAAAHvf9bg=")</f>
        <v>#VALUE!</v>
      </c>
      <c r="GD2" t="e">
        <f>AND(Prácticas!F1,"AAAAAHvf9bk=")</f>
        <v>#VALUE!</v>
      </c>
      <c r="GE2" t="e">
        <f>AND(Prácticas!G1,"AAAAAHvf9bo=")</f>
        <v>#VALUE!</v>
      </c>
      <c r="GF2" t="e">
        <f>AND(Prácticas!H1,"AAAAAHvf9bs=")</f>
        <v>#VALUE!</v>
      </c>
      <c r="GG2" t="e">
        <f>AND(Prácticas!I1,"AAAAAHvf9bw=")</f>
        <v>#VALUE!</v>
      </c>
      <c r="GH2" t="e">
        <f>AND(Prácticas!J1,"AAAAAHvf9b0=")</f>
        <v>#VALUE!</v>
      </c>
      <c r="GI2" t="e">
        <f>AND(Prácticas!K1,"AAAAAHvf9b4=")</f>
        <v>#VALUE!</v>
      </c>
      <c r="GJ2" t="e">
        <f>AND(Prácticas!L1,"AAAAAHvf9b8=")</f>
        <v>#VALUE!</v>
      </c>
      <c r="GK2" t="e">
        <f>AND(Prácticas!M1,"AAAAAHvf9cA=")</f>
        <v>#VALUE!</v>
      </c>
      <c r="GL2" t="e">
        <f>AND(Prácticas!N1,"AAAAAHvf9cE=")</f>
        <v>#VALUE!</v>
      </c>
      <c r="GM2" t="e">
        <f>AND(Prácticas!O1,"AAAAAHvf9cI=")</f>
        <v>#VALUE!</v>
      </c>
      <c r="GN2" t="e">
        <f>AND(Prácticas!P1,"AAAAAHvf9cM=")</f>
        <v>#VALUE!</v>
      </c>
      <c r="GO2">
        <f>IF(Prácticas!2:2,"AAAAAHvf9cQ=",0)</f>
        <v>0</v>
      </c>
      <c r="GP2" t="e">
        <f>AND(Prácticas!A2,"AAAAAHvf9cU=")</f>
        <v>#VALUE!</v>
      </c>
      <c r="GQ2" t="e">
        <f>AND(Prácticas!B2,"AAAAAHvf9cY=")</f>
        <v>#VALUE!</v>
      </c>
      <c r="GR2" t="e">
        <f>AND(Prácticas!C2,"AAAAAHvf9cc=")</f>
        <v>#VALUE!</v>
      </c>
      <c r="GS2" t="e">
        <f>AND(Prácticas!D2,"AAAAAHvf9cg=")</f>
        <v>#VALUE!</v>
      </c>
      <c r="GT2" t="e">
        <f>AND(Prácticas!E2,"AAAAAHvf9ck=")</f>
        <v>#VALUE!</v>
      </c>
      <c r="GU2" t="e">
        <f>AND(Prácticas!F2,"AAAAAHvf9co=")</f>
        <v>#VALUE!</v>
      </c>
      <c r="GV2" t="e">
        <f>AND(Prácticas!G2,"AAAAAHvf9cs=")</f>
        <v>#VALUE!</v>
      </c>
      <c r="GW2" t="e">
        <f>AND(Prácticas!H2,"AAAAAHvf9cw=")</f>
        <v>#VALUE!</v>
      </c>
      <c r="GX2" t="e">
        <f>AND(Prácticas!I2,"AAAAAHvf9c0=")</f>
        <v>#VALUE!</v>
      </c>
      <c r="GY2" t="e">
        <f>AND(Prácticas!J2,"AAAAAHvf9c4=")</f>
        <v>#VALUE!</v>
      </c>
      <c r="GZ2" t="e">
        <f>AND(Prácticas!K2,"AAAAAHvf9c8=")</f>
        <v>#VALUE!</v>
      </c>
      <c r="HA2" t="e">
        <f>AND(Prácticas!L2,"AAAAAHvf9dA=")</f>
        <v>#VALUE!</v>
      </c>
      <c r="HB2" t="e">
        <f>AND(Prácticas!M2,"AAAAAHvf9dE=")</f>
        <v>#VALUE!</v>
      </c>
      <c r="HC2" t="e">
        <f>AND(Prácticas!N2,"AAAAAHvf9dI=")</f>
        <v>#VALUE!</v>
      </c>
      <c r="HD2" t="e">
        <f>AND(Prácticas!O2,"AAAAAHvf9dM=")</f>
        <v>#VALUE!</v>
      </c>
      <c r="HE2" t="e">
        <f>AND(Prácticas!P2,"AAAAAHvf9dQ=")</f>
        <v>#VALUE!</v>
      </c>
      <c r="HF2">
        <f>IF(Prácticas!3:3,"AAAAAHvf9dU=",0)</f>
        <v>0</v>
      </c>
      <c r="HG2" t="e">
        <f>AND(Prácticas!A3,"AAAAAHvf9dY=")</f>
        <v>#VALUE!</v>
      </c>
      <c r="HH2" t="e">
        <f>AND(Prácticas!B3,"AAAAAHvf9dc=")</f>
        <v>#VALUE!</v>
      </c>
      <c r="HI2" t="e">
        <f>AND(Prácticas!C3,"AAAAAHvf9dg=")</f>
        <v>#VALUE!</v>
      </c>
      <c r="HJ2" t="e">
        <f>AND(Prácticas!D3,"AAAAAHvf9dk=")</f>
        <v>#VALUE!</v>
      </c>
      <c r="HK2" t="e">
        <f>AND(Prácticas!E3,"AAAAAHvf9do=")</f>
        <v>#VALUE!</v>
      </c>
      <c r="HL2" t="e">
        <f>AND(Prácticas!F3,"AAAAAHvf9ds=")</f>
        <v>#VALUE!</v>
      </c>
      <c r="HM2" t="e">
        <f>AND(Prácticas!G3,"AAAAAHvf9dw=")</f>
        <v>#VALUE!</v>
      </c>
      <c r="HN2" t="e">
        <f>AND(Prácticas!H3,"AAAAAHvf9d0=")</f>
        <v>#VALUE!</v>
      </c>
      <c r="HO2" t="e">
        <f>AND(Prácticas!I3,"AAAAAHvf9d4=")</f>
        <v>#VALUE!</v>
      </c>
      <c r="HP2" t="e">
        <f>AND(Prácticas!J3,"AAAAAHvf9d8=")</f>
        <v>#VALUE!</v>
      </c>
      <c r="HQ2" t="e">
        <f>AND(Prácticas!K3,"AAAAAHvf9eA=")</f>
        <v>#VALUE!</v>
      </c>
      <c r="HR2" t="e">
        <f>AND(Prácticas!L3,"AAAAAHvf9eE=")</f>
        <v>#VALUE!</v>
      </c>
      <c r="HS2" t="e">
        <f>AND(Prácticas!M3,"AAAAAHvf9eI=")</f>
        <v>#VALUE!</v>
      </c>
      <c r="HT2" t="e">
        <f>AND(Prácticas!N3,"AAAAAHvf9eM=")</f>
        <v>#VALUE!</v>
      </c>
      <c r="HU2" t="e">
        <f>AND(Prácticas!O3,"AAAAAHvf9eQ=")</f>
        <v>#VALUE!</v>
      </c>
      <c r="HV2" t="e">
        <f>AND(Prácticas!P3,"AAAAAHvf9eU=")</f>
        <v>#VALUE!</v>
      </c>
      <c r="HW2">
        <f>IF(Prácticas!4:4,"AAAAAHvf9eY=",0)</f>
        <v>0</v>
      </c>
      <c r="HX2" t="e">
        <f>AND(Prácticas!A4,"AAAAAHvf9ec=")</f>
        <v>#VALUE!</v>
      </c>
      <c r="HY2" t="e">
        <f>AND(Prácticas!B4,"AAAAAHvf9eg=")</f>
        <v>#VALUE!</v>
      </c>
      <c r="HZ2" t="e">
        <f>AND(Prácticas!C4,"AAAAAHvf9ek=")</f>
        <v>#VALUE!</v>
      </c>
      <c r="IA2" t="e">
        <f>AND(Prácticas!D4,"AAAAAHvf9eo=")</f>
        <v>#VALUE!</v>
      </c>
      <c r="IB2" t="e">
        <f>AND(Prácticas!E4,"AAAAAHvf9es=")</f>
        <v>#VALUE!</v>
      </c>
      <c r="IC2" t="e">
        <f>AND(Prácticas!F4,"AAAAAHvf9ew=")</f>
        <v>#VALUE!</v>
      </c>
      <c r="ID2" t="e">
        <f>AND(Prácticas!G4,"AAAAAHvf9e0=")</f>
        <v>#VALUE!</v>
      </c>
      <c r="IE2" t="e">
        <f>AND(Prácticas!H4,"AAAAAHvf9e4=")</f>
        <v>#VALUE!</v>
      </c>
      <c r="IF2" t="e">
        <f>AND(Prácticas!I4,"AAAAAHvf9e8=")</f>
        <v>#VALUE!</v>
      </c>
      <c r="IG2" t="e">
        <f>AND(Prácticas!J4,"AAAAAHvf9fA=")</f>
        <v>#VALUE!</v>
      </c>
      <c r="IH2" t="e">
        <f>AND(Prácticas!K4,"AAAAAHvf9fE=")</f>
        <v>#VALUE!</v>
      </c>
      <c r="II2" t="e">
        <f>AND(Prácticas!L4,"AAAAAHvf9fI=")</f>
        <v>#VALUE!</v>
      </c>
      <c r="IJ2" t="e">
        <f>AND(Prácticas!M4,"AAAAAHvf9fM=")</f>
        <v>#VALUE!</v>
      </c>
      <c r="IK2" t="e">
        <f>AND(Prácticas!N4,"AAAAAHvf9fQ=")</f>
        <v>#VALUE!</v>
      </c>
      <c r="IL2" t="e">
        <f>AND(Prácticas!O4,"AAAAAHvf9fU=")</f>
        <v>#VALUE!</v>
      </c>
      <c r="IM2" t="e">
        <f>AND(Prácticas!P4,"AAAAAHvf9fY=")</f>
        <v>#VALUE!</v>
      </c>
      <c r="IN2">
        <f>IF(Prácticas!5:5,"AAAAAHvf9fc=",0)</f>
        <v>0</v>
      </c>
      <c r="IO2" t="e">
        <f>AND(Prácticas!A5,"AAAAAHvf9fg=")</f>
        <v>#VALUE!</v>
      </c>
      <c r="IP2" t="e">
        <f>AND(Prácticas!B5,"AAAAAHvf9fk=")</f>
        <v>#VALUE!</v>
      </c>
      <c r="IQ2" t="e">
        <f>AND(Prácticas!C5,"AAAAAHvf9fo=")</f>
        <v>#VALUE!</v>
      </c>
      <c r="IR2" t="e">
        <f>AND(Prácticas!D5,"AAAAAHvf9fs=")</f>
        <v>#VALUE!</v>
      </c>
      <c r="IS2" t="e">
        <f>AND(Prácticas!E5,"AAAAAHvf9fw=")</f>
        <v>#VALUE!</v>
      </c>
      <c r="IT2" t="e">
        <f>AND(Prácticas!F5,"AAAAAHvf9f0=")</f>
        <v>#VALUE!</v>
      </c>
      <c r="IU2" t="e">
        <f>AND(Prácticas!G5,"AAAAAHvf9f4=")</f>
        <v>#VALUE!</v>
      </c>
      <c r="IV2" t="e">
        <f>AND(Prácticas!H5,"AAAAAHvf9f8=")</f>
        <v>#VALUE!</v>
      </c>
    </row>
    <row r="3" spans="1:256" ht="12.75">
      <c r="A3" t="e">
        <f>AND(Prácticas!I5,"AAAAAH7hPwA=")</f>
        <v>#VALUE!</v>
      </c>
      <c r="B3" t="e">
        <f>AND(Prácticas!J5,"AAAAAH7hPwE=")</f>
        <v>#VALUE!</v>
      </c>
      <c r="C3" t="e">
        <f>AND(Prácticas!K5,"AAAAAH7hPwI=")</f>
        <v>#VALUE!</v>
      </c>
      <c r="D3" t="e">
        <f>AND(Prácticas!L5,"AAAAAH7hPwM=")</f>
        <v>#VALUE!</v>
      </c>
      <c r="E3" t="e">
        <f>AND(Prácticas!M5,"AAAAAH7hPwQ=")</f>
        <v>#VALUE!</v>
      </c>
      <c r="F3" t="e">
        <f>AND(Prácticas!N5,"AAAAAH7hPwU=")</f>
        <v>#VALUE!</v>
      </c>
      <c r="G3" t="e">
        <f>AND(Prácticas!O5,"AAAAAH7hPwY=")</f>
        <v>#VALUE!</v>
      </c>
      <c r="H3" t="e">
        <f>AND(Prácticas!P5,"AAAAAH7hPwc=")</f>
        <v>#VALUE!</v>
      </c>
      <c r="I3">
        <f>IF(Prácticas!6:6,"AAAAAH7hPwg=",0)</f>
        <v>0</v>
      </c>
      <c r="J3" t="e">
        <f>AND(Prácticas!A6,"AAAAAH7hPwk=")</f>
        <v>#VALUE!</v>
      </c>
      <c r="K3" t="e">
        <f>AND(Prácticas!B6,"AAAAAH7hPwo=")</f>
        <v>#VALUE!</v>
      </c>
      <c r="L3" t="e">
        <f>AND(Prácticas!C6,"AAAAAH7hPws=")</f>
        <v>#VALUE!</v>
      </c>
      <c r="M3" t="e">
        <f>AND(Prácticas!D6,"AAAAAH7hPww=")</f>
        <v>#VALUE!</v>
      </c>
      <c r="N3" t="e">
        <f>AND(Prácticas!E6,"AAAAAH7hPw0=")</f>
        <v>#VALUE!</v>
      </c>
      <c r="O3" t="e">
        <f>AND(Prácticas!F6,"AAAAAH7hPw4=")</f>
        <v>#VALUE!</v>
      </c>
      <c r="P3" t="e">
        <f>AND(Prácticas!G6,"AAAAAH7hPw8=")</f>
        <v>#VALUE!</v>
      </c>
      <c r="Q3" t="e">
        <f>AND(Prácticas!H6,"AAAAAH7hPxA=")</f>
        <v>#VALUE!</v>
      </c>
      <c r="R3" t="e">
        <f>AND(Prácticas!I6,"AAAAAH7hPxE=")</f>
        <v>#VALUE!</v>
      </c>
      <c r="S3" t="e">
        <f>AND(Prácticas!J6,"AAAAAH7hPxI=")</f>
        <v>#VALUE!</v>
      </c>
      <c r="T3" t="e">
        <f>AND(Prácticas!K6,"AAAAAH7hPxM=")</f>
        <v>#VALUE!</v>
      </c>
      <c r="U3" t="e">
        <f>AND(Prácticas!L6,"AAAAAH7hPxQ=")</f>
        <v>#VALUE!</v>
      </c>
      <c r="V3" t="e">
        <f>AND(Prácticas!M6,"AAAAAH7hPxU=")</f>
        <v>#VALUE!</v>
      </c>
      <c r="W3" t="e">
        <f>AND(Prácticas!N6,"AAAAAH7hPxY=")</f>
        <v>#VALUE!</v>
      </c>
      <c r="X3" t="e">
        <f>AND(Prácticas!O6,"AAAAAH7hPxc=")</f>
        <v>#VALUE!</v>
      </c>
      <c r="Y3" t="e">
        <f>AND(Prácticas!P6,"AAAAAH7hPxg=")</f>
        <v>#VALUE!</v>
      </c>
      <c r="Z3">
        <f>IF(Prácticas!7:7,"AAAAAH7hPxk=",0)</f>
        <v>0</v>
      </c>
      <c r="AA3" t="e">
        <f>AND(Prácticas!A7,"AAAAAH7hPxo=")</f>
        <v>#VALUE!</v>
      </c>
      <c r="AB3" t="e">
        <f>AND(Prácticas!B7,"AAAAAH7hPxs=")</f>
        <v>#VALUE!</v>
      </c>
      <c r="AC3" t="e">
        <f>AND(Prácticas!C7,"AAAAAH7hPxw=")</f>
        <v>#VALUE!</v>
      </c>
      <c r="AD3" t="e">
        <f>AND(Prácticas!D7,"AAAAAH7hPx0=")</f>
        <v>#VALUE!</v>
      </c>
      <c r="AE3" t="e">
        <f>AND(Prácticas!E7,"AAAAAH7hPx4=")</f>
        <v>#VALUE!</v>
      </c>
      <c r="AF3" t="e">
        <f>AND(Prácticas!F7,"AAAAAH7hPx8=")</f>
        <v>#VALUE!</v>
      </c>
      <c r="AG3" t="e">
        <f>AND(Prácticas!G7,"AAAAAH7hPyA=")</f>
        <v>#VALUE!</v>
      </c>
      <c r="AH3" t="e">
        <f>AND(Prácticas!H7,"AAAAAH7hPyE=")</f>
        <v>#VALUE!</v>
      </c>
      <c r="AI3" t="e">
        <f>AND(Prácticas!I7,"AAAAAH7hPyI=")</f>
        <v>#VALUE!</v>
      </c>
      <c r="AJ3" t="e">
        <f>AND(Prácticas!J7,"AAAAAH7hPyM=")</f>
        <v>#VALUE!</v>
      </c>
      <c r="AK3" t="e">
        <f>AND(Prácticas!K7,"AAAAAH7hPyQ=")</f>
        <v>#VALUE!</v>
      </c>
      <c r="AL3" t="e">
        <f>AND(Prácticas!L7,"AAAAAH7hPyU=")</f>
        <v>#VALUE!</v>
      </c>
      <c r="AM3" t="e">
        <f>AND(Prácticas!M7,"AAAAAH7hPyY=")</f>
        <v>#VALUE!</v>
      </c>
      <c r="AN3" t="e">
        <f>AND(Prácticas!N7,"AAAAAH7hPyc=")</f>
        <v>#VALUE!</v>
      </c>
      <c r="AO3" t="e">
        <f>AND(Prácticas!O7,"AAAAAH7hPyg=")</f>
        <v>#VALUE!</v>
      </c>
      <c r="AP3" t="e">
        <f>AND(Prácticas!P7,"AAAAAH7hPyk=")</f>
        <v>#VALUE!</v>
      </c>
      <c r="AQ3">
        <f>IF(Prácticas!8:8,"AAAAAH7hPyo=",0)</f>
        <v>0</v>
      </c>
      <c r="AR3" t="e">
        <f>AND(Prácticas!A8,"AAAAAH7hPys=")</f>
        <v>#VALUE!</v>
      </c>
      <c r="AS3" t="e">
        <f>AND(Prácticas!B8,"AAAAAH7hPyw=")</f>
        <v>#VALUE!</v>
      </c>
      <c r="AT3" t="e">
        <f>AND(Prácticas!C8,"AAAAAH7hPy0=")</f>
        <v>#VALUE!</v>
      </c>
      <c r="AU3" t="e">
        <f>AND(Prácticas!D8,"AAAAAH7hPy4=")</f>
        <v>#VALUE!</v>
      </c>
      <c r="AV3" t="e">
        <f>AND(Prácticas!E8,"AAAAAH7hPy8=")</f>
        <v>#VALUE!</v>
      </c>
      <c r="AW3" t="e">
        <f>AND(Prácticas!F8,"AAAAAH7hPzA=")</f>
        <v>#VALUE!</v>
      </c>
      <c r="AX3" t="e">
        <f>AND(Prácticas!G8,"AAAAAH7hPzE=")</f>
        <v>#VALUE!</v>
      </c>
      <c r="AY3" t="e">
        <f>AND(Prácticas!H8,"AAAAAH7hPzI=")</f>
        <v>#VALUE!</v>
      </c>
      <c r="AZ3" t="e">
        <f>AND(Prácticas!I8,"AAAAAH7hPzM=")</f>
        <v>#VALUE!</v>
      </c>
      <c r="BA3" t="e">
        <f>AND(Prácticas!J8,"AAAAAH7hPzQ=")</f>
        <v>#VALUE!</v>
      </c>
      <c r="BB3" t="e">
        <f>AND(Prácticas!K8,"AAAAAH7hPzU=")</f>
        <v>#VALUE!</v>
      </c>
      <c r="BC3" t="e">
        <f>AND(Prácticas!L8,"AAAAAH7hPzY=")</f>
        <v>#VALUE!</v>
      </c>
      <c r="BD3" t="e">
        <f>AND(Prácticas!M8,"AAAAAH7hPzc=")</f>
        <v>#VALUE!</v>
      </c>
      <c r="BE3" t="e">
        <f>AND(Prácticas!N8,"AAAAAH7hPzg=")</f>
        <v>#VALUE!</v>
      </c>
      <c r="BF3" t="e">
        <f>AND(Prácticas!O8,"AAAAAH7hPzk=")</f>
        <v>#VALUE!</v>
      </c>
      <c r="BG3" t="e">
        <f>AND(Prácticas!P8,"AAAAAH7hPzo=")</f>
        <v>#VALUE!</v>
      </c>
      <c r="BH3">
        <f>IF(Prácticas!9:9,"AAAAAH7hPzs=",0)</f>
        <v>0</v>
      </c>
      <c r="BI3" t="e">
        <f>AND(Prácticas!A9,"AAAAAH7hPzw=")</f>
        <v>#VALUE!</v>
      </c>
      <c r="BJ3" t="e">
        <f>AND(Prácticas!B9,"AAAAAH7hPz0=")</f>
        <v>#VALUE!</v>
      </c>
      <c r="BK3" t="e">
        <f>AND(Prácticas!C9,"AAAAAH7hPz4=")</f>
        <v>#VALUE!</v>
      </c>
      <c r="BL3" t="e">
        <f>AND(Prácticas!D9,"AAAAAH7hPz8=")</f>
        <v>#VALUE!</v>
      </c>
      <c r="BM3" t="e">
        <f>AND(Prácticas!E9,"AAAAAH7hP0A=")</f>
        <v>#VALUE!</v>
      </c>
      <c r="BN3" t="e">
        <f>AND(Prácticas!F9,"AAAAAH7hP0E=")</f>
        <v>#VALUE!</v>
      </c>
      <c r="BO3" t="e">
        <f>AND(Prácticas!G9,"AAAAAH7hP0I=")</f>
        <v>#VALUE!</v>
      </c>
      <c r="BP3" t="e">
        <f>AND(Prácticas!H9,"AAAAAH7hP0M=")</f>
        <v>#VALUE!</v>
      </c>
      <c r="BQ3" t="e">
        <f>AND(Prácticas!I9,"AAAAAH7hP0Q=")</f>
        <v>#VALUE!</v>
      </c>
      <c r="BR3" t="e">
        <f>AND(Prácticas!J9,"AAAAAH7hP0U=")</f>
        <v>#VALUE!</v>
      </c>
      <c r="BS3" t="e">
        <f>AND(Prácticas!K9,"AAAAAH7hP0Y=")</f>
        <v>#VALUE!</v>
      </c>
      <c r="BT3" t="e">
        <f>AND(Prácticas!L9,"AAAAAH7hP0c=")</f>
        <v>#VALUE!</v>
      </c>
      <c r="BU3" t="e">
        <f>AND(Prácticas!M9,"AAAAAH7hP0g=")</f>
        <v>#VALUE!</v>
      </c>
      <c r="BV3" t="e">
        <f>AND(Prácticas!N9,"AAAAAH7hP0k=")</f>
        <v>#VALUE!</v>
      </c>
      <c r="BW3" t="e">
        <f>AND(Prácticas!O9,"AAAAAH7hP0o=")</f>
        <v>#VALUE!</v>
      </c>
      <c r="BX3" t="e">
        <f>AND(Prácticas!P9,"AAAAAH7hP0s=")</f>
        <v>#VALUE!</v>
      </c>
      <c r="BY3">
        <f>IF(Prácticas!10:10,"AAAAAH7hP0w=",0)</f>
        <v>0</v>
      </c>
      <c r="BZ3" t="e">
        <f>AND(Prácticas!A10,"AAAAAH7hP00=")</f>
        <v>#VALUE!</v>
      </c>
      <c r="CA3" t="e">
        <f>AND(Prácticas!B10,"AAAAAH7hP04=")</f>
        <v>#VALUE!</v>
      </c>
      <c r="CB3" t="e">
        <f>AND(Prácticas!C10,"AAAAAH7hP08=")</f>
        <v>#VALUE!</v>
      </c>
      <c r="CC3" t="e">
        <f>AND(Prácticas!D10,"AAAAAH7hP1A=")</f>
        <v>#VALUE!</v>
      </c>
      <c r="CD3" t="e">
        <f>AND(Prácticas!E10,"AAAAAH7hP1E=")</f>
        <v>#VALUE!</v>
      </c>
      <c r="CE3" t="e">
        <f>AND(Prácticas!F10,"AAAAAH7hP1I=")</f>
        <v>#VALUE!</v>
      </c>
      <c r="CF3" t="e">
        <f>AND(Prácticas!G10,"AAAAAH7hP1M=")</f>
        <v>#VALUE!</v>
      </c>
      <c r="CG3" t="e">
        <f>AND(Prácticas!H10,"AAAAAH7hP1Q=")</f>
        <v>#VALUE!</v>
      </c>
      <c r="CH3" t="e">
        <f>AND(Prácticas!I10,"AAAAAH7hP1U=")</f>
        <v>#VALUE!</v>
      </c>
      <c r="CI3" t="e">
        <f>AND(Prácticas!J10,"AAAAAH7hP1Y=")</f>
        <v>#VALUE!</v>
      </c>
      <c r="CJ3" t="e">
        <f>AND(Prácticas!K10,"AAAAAH7hP1c=")</f>
        <v>#VALUE!</v>
      </c>
      <c r="CK3" t="e">
        <f>AND(Prácticas!L10,"AAAAAH7hP1g=")</f>
        <v>#VALUE!</v>
      </c>
      <c r="CL3" t="e">
        <f>AND(Prácticas!M10,"AAAAAH7hP1k=")</f>
        <v>#VALUE!</v>
      </c>
      <c r="CM3" t="e">
        <f>AND(Prácticas!N10,"AAAAAH7hP1o=")</f>
        <v>#VALUE!</v>
      </c>
      <c r="CN3" t="e">
        <f>AND(Prácticas!O10,"AAAAAH7hP1s=")</f>
        <v>#VALUE!</v>
      </c>
      <c r="CO3" t="e">
        <f>AND(Prácticas!P10,"AAAAAH7hP1w=")</f>
        <v>#VALUE!</v>
      </c>
      <c r="CP3">
        <f>IF(Prácticas!11:11,"AAAAAH7hP10=",0)</f>
        <v>0</v>
      </c>
      <c r="CQ3" t="e">
        <f>AND(Prácticas!A11,"AAAAAH7hP14=")</f>
        <v>#VALUE!</v>
      </c>
      <c r="CR3" t="e">
        <f>AND(Prácticas!B11,"AAAAAH7hP18=")</f>
        <v>#VALUE!</v>
      </c>
      <c r="CS3" t="e">
        <f>AND(Prácticas!C11,"AAAAAH7hP2A=")</f>
        <v>#VALUE!</v>
      </c>
      <c r="CT3" t="e">
        <f>AND(Prácticas!D11,"AAAAAH7hP2E=")</f>
        <v>#VALUE!</v>
      </c>
      <c r="CU3" t="e">
        <f>AND(Prácticas!E11,"AAAAAH7hP2I=")</f>
        <v>#VALUE!</v>
      </c>
      <c r="CV3" t="e">
        <f>AND(Prácticas!F11,"AAAAAH7hP2M=")</f>
        <v>#VALUE!</v>
      </c>
      <c r="CW3" t="e">
        <f>AND(Prácticas!G11,"AAAAAH7hP2Q=")</f>
        <v>#VALUE!</v>
      </c>
      <c r="CX3" t="e">
        <f>AND(Prácticas!H11,"AAAAAH7hP2U=")</f>
        <v>#VALUE!</v>
      </c>
      <c r="CY3" t="e">
        <f>AND(Prácticas!I11,"AAAAAH7hP2Y=")</f>
        <v>#VALUE!</v>
      </c>
      <c r="CZ3" t="e">
        <f>AND(Prácticas!J11,"AAAAAH7hP2c=")</f>
        <v>#VALUE!</v>
      </c>
      <c r="DA3" t="e">
        <f>AND(Prácticas!K11,"AAAAAH7hP2g=")</f>
        <v>#VALUE!</v>
      </c>
      <c r="DB3" t="e">
        <f>AND(Prácticas!L11,"AAAAAH7hP2k=")</f>
        <v>#VALUE!</v>
      </c>
      <c r="DC3" t="e">
        <f>AND(Prácticas!M11,"AAAAAH7hP2o=")</f>
        <v>#VALUE!</v>
      </c>
      <c r="DD3" t="e">
        <f>AND(Prácticas!N11,"AAAAAH7hP2s=")</f>
        <v>#VALUE!</v>
      </c>
      <c r="DE3" t="e">
        <f>AND(Prácticas!O11,"AAAAAH7hP2w=")</f>
        <v>#VALUE!</v>
      </c>
      <c r="DF3" t="e">
        <f>AND(Prácticas!P11,"AAAAAH7hP20=")</f>
        <v>#VALUE!</v>
      </c>
      <c r="DG3">
        <f>IF(Prácticas!12:12,"AAAAAH7hP24=",0)</f>
        <v>0</v>
      </c>
      <c r="DH3" t="e">
        <f>AND(Prácticas!A12,"AAAAAH7hP28=")</f>
        <v>#VALUE!</v>
      </c>
      <c r="DI3" t="e">
        <f>AND(Prácticas!B12,"AAAAAH7hP3A=")</f>
        <v>#VALUE!</v>
      </c>
      <c r="DJ3" t="e">
        <f>AND(Prácticas!C12,"AAAAAH7hP3E=")</f>
        <v>#VALUE!</v>
      </c>
      <c r="DK3" t="e">
        <f>AND(Prácticas!D12,"AAAAAH7hP3I=")</f>
        <v>#VALUE!</v>
      </c>
      <c r="DL3" t="e">
        <f>AND(Prácticas!E12,"AAAAAH7hP3M=")</f>
        <v>#VALUE!</v>
      </c>
      <c r="DM3" t="e">
        <f>AND(Prácticas!F12,"AAAAAH7hP3Q=")</f>
        <v>#VALUE!</v>
      </c>
      <c r="DN3" t="e">
        <f>AND(Prácticas!G12,"AAAAAH7hP3U=")</f>
        <v>#VALUE!</v>
      </c>
      <c r="DO3" t="e">
        <f>AND(Prácticas!H12,"AAAAAH7hP3Y=")</f>
        <v>#VALUE!</v>
      </c>
      <c r="DP3" t="e">
        <f>AND(Prácticas!I12,"AAAAAH7hP3c=")</f>
        <v>#VALUE!</v>
      </c>
      <c r="DQ3" t="e">
        <f>AND(Prácticas!J12,"AAAAAH7hP3g=")</f>
        <v>#VALUE!</v>
      </c>
      <c r="DR3" t="e">
        <f>AND(Prácticas!K12,"AAAAAH7hP3k=")</f>
        <v>#VALUE!</v>
      </c>
      <c r="DS3" t="e">
        <f>AND(Prácticas!L12,"AAAAAH7hP3o=")</f>
        <v>#VALUE!</v>
      </c>
      <c r="DT3" t="e">
        <f>AND(Prácticas!M12,"AAAAAH7hP3s=")</f>
        <v>#VALUE!</v>
      </c>
      <c r="DU3" t="e">
        <f>AND(Prácticas!N12,"AAAAAH7hP3w=")</f>
        <v>#VALUE!</v>
      </c>
      <c r="DV3" t="e">
        <f>AND(Prácticas!O12,"AAAAAH7hP30=")</f>
        <v>#VALUE!</v>
      </c>
      <c r="DW3" t="e">
        <f>AND(Prácticas!P12,"AAAAAH7hP34=")</f>
        <v>#VALUE!</v>
      </c>
      <c r="DX3">
        <f>IF(Prácticas!13:13,"AAAAAH7hP38=",0)</f>
        <v>0</v>
      </c>
      <c r="DY3" t="e">
        <f>AND(Prácticas!A13,"AAAAAH7hP4A=")</f>
        <v>#VALUE!</v>
      </c>
      <c r="DZ3" t="e">
        <f>AND(Prácticas!B13,"AAAAAH7hP4E=")</f>
        <v>#VALUE!</v>
      </c>
      <c r="EA3" t="e">
        <f>AND(Prácticas!C13,"AAAAAH7hP4I=")</f>
        <v>#VALUE!</v>
      </c>
      <c r="EB3" t="e">
        <f>AND(Prácticas!D13,"AAAAAH7hP4M=")</f>
        <v>#VALUE!</v>
      </c>
      <c r="EC3" t="e">
        <f>AND(Prácticas!E13,"AAAAAH7hP4Q=")</f>
        <v>#VALUE!</v>
      </c>
      <c r="ED3" t="e">
        <f>AND(Prácticas!F13,"AAAAAH7hP4U=")</f>
        <v>#VALUE!</v>
      </c>
      <c r="EE3" t="e">
        <f>AND(Prácticas!G13,"AAAAAH7hP4Y=")</f>
        <v>#VALUE!</v>
      </c>
      <c r="EF3" t="e">
        <f>AND(Prácticas!H13,"AAAAAH7hP4c=")</f>
        <v>#VALUE!</v>
      </c>
      <c r="EG3" t="e">
        <f>AND(Prácticas!I13,"AAAAAH7hP4g=")</f>
        <v>#VALUE!</v>
      </c>
      <c r="EH3" t="e">
        <f>AND(Prácticas!J13,"AAAAAH7hP4k=")</f>
        <v>#VALUE!</v>
      </c>
      <c r="EI3" t="e">
        <f>AND(Prácticas!K13,"AAAAAH7hP4o=")</f>
        <v>#VALUE!</v>
      </c>
      <c r="EJ3" t="e">
        <f>AND(Prácticas!L13,"AAAAAH7hP4s=")</f>
        <v>#VALUE!</v>
      </c>
      <c r="EK3" t="e">
        <f>AND(Prácticas!M13,"AAAAAH7hP4w=")</f>
        <v>#VALUE!</v>
      </c>
      <c r="EL3" t="e">
        <f>AND(Prácticas!N13,"AAAAAH7hP40=")</f>
        <v>#VALUE!</v>
      </c>
      <c r="EM3" t="e">
        <f>AND(Prácticas!O13,"AAAAAH7hP44=")</f>
        <v>#VALUE!</v>
      </c>
      <c r="EN3" t="e">
        <f>AND(Prácticas!P13,"AAAAAH7hP48=")</f>
        <v>#VALUE!</v>
      </c>
      <c r="EO3">
        <f>IF(Prácticas!14:14,"AAAAAH7hP5A=",0)</f>
        <v>0</v>
      </c>
      <c r="EP3" t="e">
        <f>AND(Prácticas!A14,"AAAAAH7hP5E=")</f>
        <v>#VALUE!</v>
      </c>
      <c r="EQ3" t="e">
        <f>AND(Prácticas!B14,"AAAAAH7hP5I=")</f>
        <v>#VALUE!</v>
      </c>
      <c r="ER3" t="e">
        <f>AND(Prácticas!C14,"AAAAAH7hP5M=")</f>
        <v>#VALUE!</v>
      </c>
      <c r="ES3" t="e">
        <f>AND(Prácticas!D14,"AAAAAH7hP5Q=")</f>
        <v>#VALUE!</v>
      </c>
      <c r="ET3" t="e">
        <f>AND(Prácticas!E14,"AAAAAH7hP5U=")</f>
        <v>#VALUE!</v>
      </c>
      <c r="EU3" t="e">
        <f>AND(Prácticas!F14,"AAAAAH7hP5Y=")</f>
        <v>#VALUE!</v>
      </c>
      <c r="EV3" t="e">
        <f>AND(Prácticas!G14,"AAAAAH7hP5c=")</f>
        <v>#VALUE!</v>
      </c>
      <c r="EW3" t="e">
        <f>AND(Prácticas!H14,"AAAAAH7hP5g=")</f>
        <v>#VALUE!</v>
      </c>
      <c r="EX3" t="e">
        <f>AND(Prácticas!I14,"AAAAAH7hP5k=")</f>
        <v>#VALUE!</v>
      </c>
      <c r="EY3" t="e">
        <f>AND(Prácticas!J14,"AAAAAH7hP5o=")</f>
        <v>#VALUE!</v>
      </c>
      <c r="EZ3" t="e">
        <f>AND(Prácticas!K14,"AAAAAH7hP5s=")</f>
        <v>#VALUE!</v>
      </c>
      <c r="FA3" t="e">
        <f>AND(Prácticas!L14,"AAAAAH7hP5w=")</f>
        <v>#VALUE!</v>
      </c>
      <c r="FB3" t="e">
        <f>AND(Prácticas!M14,"AAAAAH7hP50=")</f>
        <v>#VALUE!</v>
      </c>
      <c r="FC3" t="e">
        <f>AND(Prácticas!N14,"AAAAAH7hP54=")</f>
        <v>#VALUE!</v>
      </c>
      <c r="FD3" t="e">
        <f>AND(Prácticas!O14,"AAAAAH7hP58=")</f>
        <v>#VALUE!</v>
      </c>
      <c r="FE3" t="e">
        <f>AND(Prácticas!P14,"AAAAAH7hP6A=")</f>
        <v>#VALUE!</v>
      </c>
      <c r="FF3">
        <f>IF(Prácticas!15:15,"AAAAAH7hP6E=",0)</f>
        <v>0</v>
      </c>
      <c r="FG3" t="e">
        <f>AND(Prácticas!A15,"AAAAAH7hP6I=")</f>
        <v>#VALUE!</v>
      </c>
      <c r="FH3" t="e">
        <f>AND(Prácticas!B15,"AAAAAH7hP6M=")</f>
        <v>#VALUE!</v>
      </c>
      <c r="FI3" t="e">
        <f>AND(Prácticas!C15,"AAAAAH7hP6Q=")</f>
        <v>#VALUE!</v>
      </c>
      <c r="FJ3" t="e">
        <f>AND(Prácticas!D15,"AAAAAH7hP6U=")</f>
        <v>#VALUE!</v>
      </c>
      <c r="FK3" t="e">
        <f>AND(Prácticas!E15,"AAAAAH7hP6Y=")</f>
        <v>#VALUE!</v>
      </c>
      <c r="FL3" t="e">
        <f>AND(Prácticas!F15,"AAAAAH7hP6c=")</f>
        <v>#VALUE!</v>
      </c>
      <c r="FM3" t="e">
        <f>AND(Prácticas!G15,"AAAAAH7hP6g=")</f>
        <v>#VALUE!</v>
      </c>
      <c r="FN3" t="e">
        <f>AND(Prácticas!H15,"AAAAAH7hP6k=")</f>
        <v>#VALUE!</v>
      </c>
      <c r="FO3" t="e">
        <f>AND(Prácticas!I15,"AAAAAH7hP6o=")</f>
        <v>#VALUE!</v>
      </c>
      <c r="FP3" t="e">
        <f>AND(Prácticas!J15,"AAAAAH7hP6s=")</f>
        <v>#VALUE!</v>
      </c>
      <c r="FQ3" t="e">
        <f>AND(Prácticas!K15,"AAAAAH7hP6w=")</f>
        <v>#VALUE!</v>
      </c>
      <c r="FR3" t="e">
        <f>AND(Prácticas!L15,"AAAAAH7hP60=")</f>
        <v>#VALUE!</v>
      </c>
      <c r="FS3" t="e">
        <f>AND(Prácticas!M15,"AAAAAH7hP64=")</f>
        <v>#VALUE!</v>
      </c>
      <c r="FT3" t="e">
        <f>AND(Prácticas!N15,"AAAAAH7hP68=")</f>
        <v>#VALUE!</v>
      </c>
      <c r="FU3" t="e">
        <f>AND(Prácticas!O15,"AAAAAH7hP7A=")</f>
        <v>#VALUE!</v>
      </c>
      <c r="FV3" t="e">
        <f>AND(Prácticas!P15,"AAAAAH7hP7E=")</f>
        <v>#VALUE!</v>
      </c>
      <c r="FW3">
        <f>IF(Prácticas!16:16,"AAAAAH7hP7I=",0)</f>
        <v>0</v>
      </c>
      <c r="FX3" t="e">
        <f>AND(Prácticas!A16,"AAAAAH7hP7M=")</f>
        <v>#VALUE!</v>
      </c>
      <c r="FY3" t="e">
        <f>AND(Prácticas!B16,"AAAAAH7hP7Q=")</f>
        <v>#VALUE!</v>
      </c>
      <c r="FZ3" t="e">
        <f>AND(Prácticas!C16,"AAAAAH7hP7U=")</f>
        <v>#VALUE!</v>
      </c>
      <c r="GA3" t="e">
        <f>AND(Prácticas!D16,"AAAAAH7hP7Y=")</f>
        <v>#VALUE!</v>
      </c>
      <c r="GB3" t="e">
        <f>AND(Prácticas!E16,"AAAAAH7hP7c=")</f>
        <v>#VALUE!</v>
      </c>
      <c r="GC3" t="e">
        <f>AND(Prácticas!F16,"AAAAAH7hP7g=")</f>
        <v>#VALUE!</v>
      </c>
      <c r="GD3" t="e">
        <f>AND(Prácticas!G16,"AAAAAH7hP7k=")</f>
        <v>#VALUE!</v>
      </c>
      <c r="GE3" t="e">
        <f>AND(Prácticas!H16,"AAAAAH7hP7o=")</f>
        <v>#VALUE!</v>
      </c>
      <c r="GF3" t="e">
        <f>AND(Prácticas!I16,"AAAAAH7hP7s=")</f>
        <v>#VALUE!</v>
      </c>
      <c r="GG3" t="e">
        <f>AND(Prácticas!J16,"AAAAAH7hP7w=")</f>
        <v>#VALUE!</v>
      </c>
      <c r="GH3" t="e">
        <f>AND(Prácticas!K16,"AAAAAH7hP70=")</f>
        <v>#VALUE!</v>
      </c>
      <c r="GI3" t="e">
        <f>AND(Prácticas!L16,"AAAAAH7hP74=")</f>
        <v>#VALUE!</v>
      </c>
      <c r="GJ3" t="e">
        <f>AND(Prácticas!M16,"AAAAAH7hP78=")</f>
        <v>#VALUE!</v>
      </c>
      <c r="GK3" t="e">
        <f>AND(Prácticas!N16,"AAAAAH7hP8A=")</f>
        <v>#VALUE!</v>
      </c>
      <c r="GL3" t="e">
        <f>AND(Prácticas!O16,"AAAAAH7hP8E=")</f>
        <v>#VALUE!</v>
      </c>
      <c r="GM3" t="e">
        <f>AND(Prácticas!P16,"AAAAAH7hP8I=")</f>
        <v>#VALUE!</v>
      </c>
      <c r="GN3">
        <f>IF(Prácticas!17:17,"AAAAAH7hP8M=",0)</f>
        <v>0</v>
      </c>
      <c r="GO3" t="e">
        <f>AND(Prácticas!A17,"AAAAAH7hP8Q=")</f>
        <v>#VALUE!</v>
      </c>
      <c r="GP3" t="e">
        <f>AND(Prácticas!B17,"AAAAAH7hP8U=")</f>
        <v>#VALUE!</v>
      </c>
      <c r="GQ3" t="e">
        <f>AND(Prácticas!C17,"AAAAAH7hP8Y=")</f>
        <v>#VALUE!</v>
      </c>
      <c r="GR3" t="e">
        <f>AND(Prácticas!D17,"AAAAAH7hP8c=")</f>
        <v>#VALUE!</v>
      </c>
      <c r="GS3" t="e">
        <f>AND(Prácticas!E17,"AAAAAH7hP8g=")</f>
        <v>#VALUE!</v>
      </c>
      <c r="GT3" t="e">
        <f>AND(Prácticas!F17,"AAAAAH7hP8k=")</f>
        <v>#VALUE!</v>
      </c>
      <c r="GU3" t="e">
        <f>AND(Prácticas!G17,"AAAAAH7hP8o=")</f>
        <v>#VALUE!</v>
      </c>
      <c r="GV3" t="e">
        <f>AND(Prácticas!H17,"AAAAAH7hP8s=")</f>
        <v>#VALUE!</v>
      </c>
      <c r="GW3" t="e">
        <f>AND(Prácticas!I17,"AAAAAH7hP8w=")</f>
        <v>#VALUE!</v>
      </c>
      <c r="GX3" t="e">
        <f>AND(Prácticas!J17,"AAAAAH7hP80=")</f>
        <v>#VALUE!</v>
      </c>
      <c r="GY3" t="e">
        <f>AND(Prácticas!K17,"AAAAAH7hP84=")</f>
        <v>#VALUE!</v>
      </c>
      <c r="GZ3" t="e">
        <f>AND(Prácticas!L17,"AAAAAH7hP88=")</f>
        <v>#VALUE!</v>
      </c>
      <c r="HA3" t="e">
        <f>AND(Prácticas!M17,"AAAAAH7hP9A=")</f>
        <v>#VALUE!</v>
      </c>
      <c r="HB3" t="e">
        <f>AND(Prácticas!N17,"AAAAAH7hP9E=")</f>
        <v>#VALUE!</v>
      </c>
      <c r="HC3" t="e">
        <f>AND(Prácticas!O17,"AAAAAH7hP9I=")</f>
        <v>#VALUE!</v>
      </c>
      <c r="HD3" t="e">
        <f>AND(Prácticas!P17,"AAAAAH7hP9M=")</f>
        <v>#VALUE!</v>
      </c>
      <c r="HE3">
        <f>IF(Prácticas!18:18,"AAAAAH7hP9Q=",0)</f>
        <v>0</v>
      </c>
      <c r="HF3" t="e">
        <f>AND(Prácticas!A18,"AAAAAH7hP9U=")</f>
        <v>#VALUE!</v>
      </c>
      <c r="HG3" t="e">
        <f>AND(Prácticas!B18,"AAAAAH7hP9Y=")</f>
        <v>#VALUE!</v>
      </c>
      <c r="HH3" t="e">
        <f>AND(Prácticas!C18,"AAAAAH7hP9c=")</f>
        <v>#VALUE!</v>
      </c>
      <c r="HI3" t="e">
        <f>AND(Prácticas!D18,"AAAAAH7hP9g=")</f>
        <v>#VALUE!</v>
      </c>
      <c r="HJ3" t="e">
        <f>AND(Prácticas!E18,"AAAAAH7hP9k=")</f>
        <v>#VALUE!</v>
      </c>
      <c r="HK3" t="e">
        <f>AND(Prácticas!F18,"AAAAAH7hP9o=")</f>
        <v>#VALUE!</v>
      </c>
      <c r="HL3" t="e">
        <f>AND(Prácticas!G18,"AAAAAH7hP9s=")</f>
        <v>#VALUE!</v>
      </c>
      <c r="HM3" t="e">
        <f>AND(Prácticas!H18,"AAAAAH7hP9w=")</f>
        <v>#VALUE!</v>
      </c>
      <c r="HN3" t="e">
        <f>AND(Prácticas!I18,"AAAAAH7hP90=")</f>
        <v>#VALUE!</v>
      </c>
      <c r="HO3" t="e">
        <f>AND(Prácticas!J18,"AAAAAH7hP94=")</f>
        <v>#VALUE!</v>
      </c>
      <c r="HP3" t="e">
        <f>AND(Prácticas!K18,"AAAAAH7hP98=")</f>
        <v>#VALUE!</v>
      </c>
      <c r="HQ3" t="e">
        <f>AND(Prácticas!L18,"AAAAAH7hP+A=")</f>
        <v>#VALUE!</v>
      </c>
      <c r="HR3" t="e">
        <f>AND(Prácticas!M18,"AAAAAH7hP+E=")</f>
        <v>#VALUE!</v>
      </c>
      <c r="HS3" t="e">
        <f>AND(Prácticas!N18,"AAAAAH7hP+I=")</f>
        <v>#VALUE!</v>
      </c>
      <c r="HT3" t="e">
        <f>AND(Prácticas!O18,"AAAAAH7hP+M=")</f>
        <v>#VALUE!</v>
      </c>
      <c r="HU3" t="e">
        <f>AND(Prácticas!P18,"AAAAAH7hP+Q=")</f>
        <v>#VALUE!</v>
      </c>
      <c r="HV3">
        <f>IF(Prácticas!19:19,"AAAAAH7hP+U=",0)</f>
        <v>0</v>
      </c>
      <c r="HW3" t="e">
        <f>AND(Prácticas!A19,"AAAAAH7hP+Y=")</f>
        <v>#VALUE!</v>
      </c>
      <c r="HX3" t="e">
        <f>AND(Prácticas!B19,"AAAAAH7hP+c=")</f>
        <v>#VALUE!</v>
      </c>
      <c r="HY3" t="e">
        <f>AND(Prácticas!C19,"AAAAAH7hP+g=")</f>
        <v>#VALUE!</v>
      </c>
      <c r="HZ3" t="e">
        <f>AND(Prácticas!D19,"AAAAAH7hP+k=")</f>
        <v>#VALUE!</v>
      </c>
      <c r="IA3" t="e">
        <f>AND(Prácticas!E19,"AAAAAH7hP+o=")</f>
        <v>#VALUE!</v>
      </c>
      <c r="IB3" t="e">
        <f>AND(Prácticas!F19,"AAAAAH7hP+s=")</f>
        <v>#VALUE!</v>
      </c>
      <c r="IC3" t="e">
        <f>AND(Prácticas!G19,"AAAAAH7hP+w=")</f>
        <v>#VALUE!</v>
      </c>
      <c r="ID3" t="e">
        <f>AND(Prácticas!H19,"AAAAAH7hP+0=")</f>
        <v>#VALUE!</v>
      </c>
      <c r="IE3" t="e">
        <f>AND(Prácticas!I19,"AAAAAH7hP+4=")</f>
        <v>#VALUE!</v>
      </c>
      <c r="IF3" t="e">
        <f>AND(Prácticas!J19,"AAAAAH7hP+8=")</f>
        <v>#VALUE!</v>
      </c>
      <c r="IG3" t="e">
        <f>AND(Prácticas!K19,"AAAAAH7hP/A=")</f>
        <v>#VALUE!</v>
      </c>
      <c r="IH3" t="e">
        <f>AND(Prácticas!L19,"AAAAAH7hP/E=")</f>
        <v>#VALUE!</v>
      </c>
      <c r="II3" t="e">
        <f>AND(Prácticas!M19,"AAAAAH7hP/I=")</f>
        <v>#VALUE!</v>
      </c>
      <c r="IJ3" t="e">
        <f>AND(Prácticas!N19,"AAAAAH7hP/M=")</f>
        <v>#VALUE!</v>
      </c>
      <c r="IK3" t="e">
        <f>AND(Prácticas!O19,"AAAAAH7hP/Q=")</f>
        <v>#VALUE!</v>
      </c>
      <c r="IL3" t="e">
        <f>AND(Prácticas!P19,"AAAAAH7hP/U=")</f>
        <v>#VALUE!</v>
      </c>
      <c r="IM3">
        <f>IF(Prácticas!20:20,"AAAAAH7hP/Y=",0)</f>
        <v>0</v>
      </c>
      <c r="IN3" t="e">
        <f>AND(Prácticas!A20,"AAAAAH7hP/c=")</f>
        <v>#VALUE!</v>
      </c>
      <c r="IO3" t="e">
        <f>AND(Prácticas!B20,"AAAAAH7hP/g=")</f>
        <v>#VALUE!</v>
      </c>
      <c r="IP3" t="e">
        <f>AND(Prácticas!C20,"AAAAAH7hP/k=")</f>
        <v>#VALUE!</v>
      </c>
      <c r="IQ3" t="e">
        <f>AND(Prácticas!D20,"AAAAAH7hP/o=")</f>
        <v>#VALUE!</v>
      </c>
      <c r="IR3" t="e">
        <f>AND(Prácticas!E20,"AAAAAH7hP/s=")</f>
        <v>#VALUE!</v>
      </c>
      <c r="IS3" t="e">
        <f>AND(Prácticas!F20,"AAAAAH7hP/w=")</f>
        <v>#VALUE!</v>
      </c>
      <c r="IT3" t="e">
        <f>AND(Prácticas!G20,"AAAAAH7hP/0=")</f>
        <v>#VALUE!</v>
      </c>
      <c r="IU3" t="e">
        <f>AND(Prácticas!H20,"AAAAAH7hP/4=")</f>
        <v>#VALUE!</v>
      </c>
      <c r="IV3" t="e">
        <f>AND(Prácticas!I20,"AAAAAH7hP/8=")</f>
        <v>#VALUE!</v>
      </c>
    </row>
    <row r="4" spans="1:256" ht="12.75">
      <c r="A4" t="e">
        <f>AND(Prácticas!J20,"AAAAAGf3XQA=")</f>
        <v>#VALUE!</v>
      </c>
      <c r="B4" t="e">
        <f>AND(Prácticas!K20,"AAAAAGf3XQE=")</f>
        <v>#VALUE!</v>
      </c>
      <c r="C4" t="e">
        <f>AND(Prácticas!L20,"AAAAAGf3XQI=")</f>
        <v>#VALUE!</v>
      </c>
      <c r="D4" t="e">
        <f>AND(Prácticas!M20,"AAAAAGf3XQM=")</f>
        <v>#VALUE!</v>
      </c>
      <c r="E4" t="e">
        <f>AND(Prácticas!N20,"AAAAAGf3XQQ=")</f>
        <v>#VALUE!</v>
      </c>
      <c r="F4" t="e">
        <f>AND(Prácticas!O20,"AAAAAGf3XQU=")</f>
        <v>#VALUE!</v>
      </c>
      <c r="G4" t="e">
        <f>AND(Prácticas!P20,"AAAAAGf3XQY=")</f>
        <v>#VALUE!</v>
      </c>
      <c r="H4" t="str">
        <f>IF(Prácticas!21:21,"AAAAAGf3XQc=",0)</f>
        <v>AAAAAGf3XQc=</v>
      </c>
      <c r="I4" t="e">
        <f>AND(Prácticas!A21,"AAAAAGf3XQg=")</f>
        <v>#VALUE!</v>
      </c>
      <c r="J4" t="e">
        <f>AND(Prácticas!B21,"AAAAAGf3XQk=")</f>
        <v>#VALUE!</v>
      </c>
      <c r="K4" t="e">
        <f>AND(Prácticas!C21,"AAAAAGf3XQo=")</f>
        <v>#VALUE!</v>
      </c>
      <c r="L4" t="e">
        <f>AND(Prácticas!D21,"AAAAAGf3XQs=")</f>
        <v>#VALUE!</v>
      </c>
      <c r="M4" t="e">
        <f>AND(Prácticas!E21,"AAAAAGf3XQw=")</f>
        <v>#VALUE!</v>
      </c>
      <c r="N4" t="e">
        <f>AND(Prácticas!F21,"AAAAAGf3XQ0=")</f>
        <v>#VALUE!</v>
      </c>
      <c r="O4" t="e">
        <f>AND(Prácticas!G21,"AAAAAGf3XQ4=")</f>
        <v>#VALUE!</v>
      </c>
      <c r="P4" t="e">
        <f>AND(Prácticas!H21,"AAAAAGf3XQ8=")</f>
        <v>#VALUE!</v>
      </c>
      <c r="Q4" t="e">
        <f>AND(Prácticas!I21,"AAAAAGf3XRA=")</f>
        <v>#VALUE!</v>
      </c>
      <c r="R4" t="e">
        <f>AND(Prácticas!J21,"AAAAAGf3XRE=")</f>
        <v>#VALUE!</v>
      </c>
      <c r="S4" t="e">
        <f>AND(Prácticas!K21,"AAAAAGf3XRI=")</f>
        <v>#VALUE!</v>
      </c>
      <c r="T4" t="e">
        <f>AND(Prácticas!L21,"AAAAAGf3XRM=")</f>
        <v>#VALUE!</v>
      </c>
      <c r="U4" t="e">
        <f>AND(Prácticas!M21,"AAAAAGf3XRQ=")</f>
        <v>#VALUE!</v>
      </c>
      <c r="V4" t="e">
        <f>AND(Prácticas!N21,"AAAAAGf3XRU=")</f>
        <v>#VALUE!</v>
      </c>
      <c r="W4" t="e">
        <f>AND(Prácticas!O21,"AAAAAGf3XRY=")</f>
        <v>#VALUE!</v>
      </c>
      <c r="X4" t="e">
        <f>AND(Prácticas!P21,"AAAAAGf3XRc=")</f>
        <v>#VALUE!</v>
      </c>
      <c r="Y4">
        <f>IF(Prácticas!22:22,"AAAAAGf3XRg=",0)</f>
        <v>0</v>
      </c>
      <c r="Z4" t="e">
        <f>AND(Prácticas!A22,"AAAAAGf3XRk=")</f>
        <v>#VALUE!</v>
      </c>
      <c r="AA4" t="e">
        <f>AND(Prácticas!B22,"AAAAAGf3XRo=")</f>
        <v>#VALUE!</v>
      </c>
      <c r="AB4" t="e">
        <f>AND(Prácticas!C22,"AAAAAGf3XRs=")</f>
        <v>#VALUE!</v>
      </c>
      <c r="AC4" t="e">
        <f>AND(Prácticas!D22,"AAAAAGf3XRw=")</f>
        <v>#VALUE!</v>
      </c>
      <c r="AD4" t="e">
        <f>AND(Prácticas!E22,"AAAAAGf3XR0=")</f>
        <v>#VALUE!</v>
      </c>
      <c r="AE4" t="e">
        <f>AND(Prácticas!F22,"AAAAAGf3XR4=")</f>
        <v>#VALUE!</v>
      </c>
      <c r="AF4" t="e">
        <f>AND(Prácticas!G22,"AAAAAGf3XR8=")</f>
        <v>#VALUE!</v>
      </c>
      <c r="AG4" t="e">
        <f>AND(Prácticas!H22,"AAAAAGf3XSA=")</f>
        <v>#VALUE!</v>
      </c>
      <c r="AH4" t="e">
        <f>AND(Prácticas!I22,"AAAAAGf3XSE=")</f>
        <v>#VALUE!</v>
      </c>
      <c r="AI4" t="e">
        <f>AND(Prácticas!J22,"AAAAAGf3XSI=")</f>
        <v>#VALUE!</v>
      </c>
      <c r="AJ4" t="e">
        <f>AND(Prácticas!K22,"AAAAAGf3XSM=")</f>
        <v>#VALUE!</v>
      </c>
      <c r="AK4" t="e">
        <f>AND(Prácticas!L22,"AAAAAGf3XSQ=")</f>
        <v>#VALUE!</v>
      </c>
      <c r="AL4" t="e">
        <f>AND(Prácticas!M22,"AAAAAGf3XSU=")</f>
        <v>#VALUE!</v>
      </c>
      <c r="AM4" t="e">
        <f>AND(Prácticas!N22,"AAAAAGf3XSY=")</f>
        <v>#VALUE!</v>
      </c>
      <c r="AN4" t="e">
        <f>AND(Prácticas!O22,"AAAAAGf3XSc=")</f>
        <v>#VALUE!</v>
      </c>
      <c r="AO4" t="e">
        <f>AND(Prácticas!P22,"AAAAAGf3XSg=")</f>
        <v>#VALUE!</v>
      </c>
      <c r="AP4">
        <f>IF(Prácticas!23:23,"AAAAAGf3XSk=",0)</f>
        <v>0</v>
      </c>
      <c r="AQ4" t="e">
        <f>AND(Prácticas!A23,"AAAAAGf3XSo=")</f>
        <v>#VALUE!</v>
      </c>
      <c r="AR4" t="e">
        <f>AND(Prácticas!B23,"AAAAAGf3XSs=")</f>
        <v>#VALUE!</v>
      </c>
      <c r="AS4" t="e">
        <f>AND(Prácticas!C23,"AAAAAGf3XSw=")</f>
        <v>#VALUE!</v>
      </c>
      <c r="AT4" t="e">
        <f>AND(Prácticas!D23,"AAAAAGf3XS0=")</f>
        <v>#VALUE!</v>
      </c>
      <c r="AU4" t="e">
        <f>AND(Prácticas!E23,"AAAAAGf3XS4=")</f>
        <v>#VALUE!</v>
      </c>
      <c r="AV4" t="e">
        <f>AND(Prácticas!F23,"AAAAAGf3XS8=")</f>
        <v>#VALUE!</v>
      </c>
      <c r="AW4" t="e">
        <f>AND(Prácticas!G23,"AAAAAGf3XTA=")</f>
        <v>#VALUE!</v>
      </c>
      <c r="AX4" t="e">
        <f>AND(Prácticas!H23,"AAAAAGf3XTE=")</f>
        <v>#VALUE!</v>
      </c>
      <c r="AY4" t="e">
        <f>AND(Prácticas!I23,"AAAAAGf3XTI=")</f>
        <v>#VALUE!</v>
      </c>
      <c r="AZ4" t="e">
        <f>AND(Prácticas!J23,"AAAAAGf3XTM=")</f>
        <v>#VALUE!</v>
      </c>
      <c r="BA4" t="e">
        <f>AND(Prácticas!K23,"AAAAAGf3XTQ=")</f>
        <v>#VALUE!</v>
      </c>
      <c r="BB4" t="e">
        <f>AND(Prácticas!L23,"AAAAAGf3XTU=")</f>
        <v>#VALUE!</v>
      </c>
      <c r="BC4" t="e">
        <f>AND(Prácticas!M23,"AAAAAGf3XTY=")</f>
        <v>#VALUE!</v>
      </c>
      <c r="BD4" t="e">
        <f>AND(Prácticas!N23,"AAAAAGf3XTc=")</f>
        <v>#VALUE!</v>
      </c>
      <c r="BE4" t="e">
        <f>AND(Prácticas!O23,"AAAAAGf3XTg=")</f>
        <v>#VALUE!</v>
      </c>
      <c r="BF4" t="e">
        <f>AND(Prácticas!P23,"AAAAAGf3XTk=")</f>
        <v>#VALUE!</v>
      </c>
      <c r="BG4">
        <f>IF(Prácticas!24:24,"AAAAAGf3XTo=",0)</f>
        <v>0</v>
      </c>
      <c r="BH4" t="e">
        <f>AND(Prácticas!A24,"AAAAAGf3XTs=")</f>
        <v>#VALUE!</v>
      </c>
      <c r="BI4" t="e">
        <f>AND(Prácticas!B24,"AAAAAGf3XTw=")</f>
        <v>#VALUE!</v>
      </c>
      <c r="BJ4" t="e">
        <f>AND(Prácticas!C24,"AAAAAGf3XT0=")</f>
        <v>#VALUE!</v>
      </c>
      <c r="BK4" t="e">
        <f>AND(Prácticas!D24,"AAAAAGf3XT4=")</f>
        <v>#VALUE!</v>
      </c>
      <c r="BL4" t="e">
        <f>AND(Prácticas!E24,"AAAAAGf3XT8=")</f>
        <v>#VALUE!</v>
      </c>
      <c r="BM4" t="e">
        <f>AND(Prácticas!F24,"AAAAAGf3XUA=")</f>
        <v>#VALUE!</v>
      </c>
      <c r="BN4" t="e">
        <f>AND(Prácticas!G24,"AAAAAGf3XUE=")</f>
        <v>#VALUE!</v>
      </c>
      <c r="BO4" t="e">
        <f>AND(Prácticas!H24,"AAAAAGf3XUI=")</f>
        <v>#VALUE!</v>
      </c>
      <c r="BP4" t="e">
        <f>AND(Prácticas!I24,"AAAAAGf3XUM=")</f>
        <v>#VALUE!</v>
      </c>
      <c r="BQ4" t="e">
        <f>AND(Prácticas!J24,"AAAAAGf3XUQ=")</f>
        <v>#VALUE!</v>
      </c>
      <c r="BR4" t="e">
        <f>AND(Prácticas!K24,"AAAAAGf3XUU=")</f>
        <v>#VALUE!</v>
      </c>
      <c r="BS4" t="e">
        <f>AND(Prácticas!L24,"AAAAAGf3XUY=")</f>
        <v>#VALUE!</v>
      </c>
      <c r="BT4" t="e">
        <f>AND(Prácticas!M24,"AAAAAGf3XUc=")</f>
        <v>#VALUE!</v>
      </c>
      <c r="BU4" t="e">
        <f>AND(Prácticas!N24,"AAAAAGf3XUg=")</f>
        <v>#VALUE!</v>
      </c>
      <c r="BV4" t="e">
        <f>AND(Prácticas!O24,"AAAAAGf3XUk=")</f>
        <v>#VALUE!</v>
      </c>
      <c r="BW4" t="e">
        <f>AND(Prácticas!P24,"AAAAAGf3XUo=")</f>
        <v>#VALUE!</v>
      </c>
      <c r="BX4">
        <f>IF(Prácticas!25:25,"AAAAAGf3XUs=",0)</f>
        <v>0</v>
      </c>
      <c r="BY4" t="e">
        <f>AND(Prácticas!A25,"AAAAAGf3XUw=")</f>
        <v>#VALUE!</v>
      </c>
      <c r="BZ4" t="e">
        <f>AND(Prácticas!B25,"AAAAAGf3XU0=")</f>
        <v>#VALUE!</v>
      </c>
      <c r="CA4" t="e">
        <f>AND(Prácticas!C25,"AAAAAGf3XU4=")</f>
        <v>#VALUE!</v>
      </c>
      <c r="CB4" t="e">
        <f>AND(Prácticas!D25,"AAAAAGf3XU8=")</f>
        <v>#VALUE!</v>
      </c>
      <c r="CC4" t="e">
        <f>AND(Prácticas!E25,"AAAAAGf3XVA=")</f>
        <v>#VALUE!</v>
      </c>
      <c r="CD4" t="e">
        <f>AND(Prácticas!F25,"AAAAAGf3XVE=")</f>
        <v>#VALUE!</v>
      </c>
      <c r="CE4" t="e">
        <f>AND(Prácticas!G25,"AAAAAGf3XVI=")</f>
        <v>#VALUE!</v>
      </c>
      <c r="CF4" t="e">
        <f>AND(Prácticas!H25,"AAAAAGf3XVM=")</f>
        <v>#VALUE!</v>
      </c>
      <c r="CG4" t="e">
        <f>AND(Prácticas!I25,"AAAAAGf3XVQ=")</f>
        <v>#VALUE!</v>
      </c>
      <c r="CH4" t="e">
        <f>AND(Prácticas!J25,"AAAAAGf3XVU=")</f>
        <v>#VALUE!</v>
      </c>
      <c r="CI4" t="e">
        <f>AND(Prácticas!K25,"AAAAAGf3XVY=")</f>
        <v>#VALUE!</v>
      </c>
      <c r="CJ4" t="e">
        <f>AND(Prácticas!L25,"AAAAAGf3XVc=")</f>
        <v>#VALUE!</v>
      </c>
      <c r="CK4" t="e">
        <f>AND(Prácticas!M25,"AAAAAGf3XVg=")</f>
        <v>#VALUE!</v>
      </c>
      <c r="CL4" t="e">
        <f>AND(Prácticas!N25,"AAAAAGf3XVk=")</f>
        <v>#VALUE!</v>
      </c>
      <c r="CM4" t="e">
        <f>AND(Prácticas!O25,"AAAAAGf3XVo=")</f>
        <v>#VALUE!</v>
      </c>
      <c r="CN4" t="e">
        <f>AND(Prácticas!P25,"AAAAAGf3XVs=")</f>
        <v>#VALUE!</v>
      </c>
      <c r="CO4">
        <f>IF(Prácticas!26:26,"AAAAAGf3XVw=",0)</f>
        <v>0</v>
      </c>
      <c r="CP4" t="e">
        <f>AND(Prácticas!A26,"AAAAAGf3XV0=")</f>
        <v>#VALUE!</v>
      </c>
      <c r="CQ4" t="e">
        <f>AND(Prácticas!B26,"AAAAAGf3XV4=")</f>
        <v>#VALUE!</v>
      </c>
      <c r="CR4" t="e">
        <f>AND(Prácticas!C26,"AAAAAGf3XV8=")</f>
        <v>#VALUE!</v>
      </c>
      <c r="CS4" t="e">
        <f>AND(Prácticas!D26,"AAAAAGf3XWA=")</f>
        <v>#VALUE!</v>
      </c>
      <c r="CT4" t="e">
        <f>AND(Prácticas!E26,"AAAAAGf3XWE=")</f>
        <v>#VALUE!</v>
      </c>
      <c r="CU4" t="e">
        <f>AND(Prácticas!F26,"AAAAAGf3XWI=")</f>
        <v>#VALUE!</v>
      </c>
      <c r="CV4" t="e">
        <f>AND(Prácticas!G26,"AAAAAGf3XWM=")</f>
        <v>#VALUE!</v>
      </c>
      <c r="CW4" t="e">
        <f>AND(Prácticas!H26,"AAAAAGf3XWQ=")</f>
        <v>#VALUE!</v>
      </c>
      <c r="CX4" t="e">
        <f>AND(Prácticas!I26,"AAAAAGf3XWU=")</f>
        <v>#VALUE!</v>
      </c>
      <c r="CY4" t="e">
        <f>AND(Prácticas!J26,"AAAAAGf3XWY=")</f>
        <v>#VALUE!</v>
      </c>
      <c r="CZ4" t="e">
        <f>AND(Prácticas!K26,"AAAAAGf3XWc=")</f>
        <v>#VALUE!</v>
      </c>
      <c r="DA4" t="e">
        <f>AND(Prácticas!L26,"AAAAAGf3XWg=")</f>
        <v>#VALUE!</v>
      </c>
      <c r="DB4" t="e">
        <f>AND(Prácticas!M26,"AAAAAGf3XWk=")</f>
        <v>#VALUE!</v>
      </c>
      <c r="DC4" t="e">
        <f>AND(Prácticas!N26,"AAAAAGf3XWo=")</f>
        <v>#VALUE!</v>
      </c>
      <c r="DD4" t="e">
        <f>AND(Prácticas!O26,"AAAAAGf3XWs=")</f>
        <v>#VALUE!</v>
      </c>
      <c r="DE4" t="e">
        <f>AND(Prácticas!P26,"AAAAAGf3XWw=")</f>
        <v>#VALUE!</v>
      </c>
      <c r="DF4">
        <f>IF(Prácticas!27:27,"AAAAAGf3XW0=",0)</f>
        <v>0</v>
      </c>
      <c r="DG4" t="e">
        <f>AND(Prácticas!A27,"AAAAAGf3XW4=")</f>
        <v>#VALUE!</v>
      </c>
      <c r="DH4" t="e">
        <f>AND(Prácticas!B27,"AAAAAGf3XW8=")</f>
        <v>#VALUE!</v>
      </c>
      <c r="DI4" t="e">
        <f>AND(Prácticas!C27,"AAAAAGf3XXA=")</f>
        <v>#VALUE!</v>
      </c>
      <c r="DJ4" t="e">
        <f>AND(Prácticas!D27,"AAAAAGf3XXE=")</f>
        <v>#VALUE!</v>
      </c>
      <c r="DK4" t="e">
        <f>AND(Prácticas!E27,"AAAAAGf3XXI=")</f>
        <v>#VALUE!</v>
      </c>
      <c r="DL4" t="e">
        <f>AND(Prácticas!F27,"AAAAAGf3XXM=")</f>
        <v>#VALUE!</v>
      </c>
      <c r="DM4" t="e">
        <f>AND(Prácticas!G27,"AAAAAGf3XXQ=")</f>
        <v>#VALUE!</v>
      </c>
      <c r="DN4" t="e">
        <f>AND(Prácticas!H27,"AAAAAGf3XXU=")</f>
        <v>#VALUE!</v>
      </c>
      <c r="DO4" t="e">
        <f>AND(Prácticas!I27,"AAAAAGf3XXY=")</f>
        <v>#VALUE!</v>
      </c>
      <c r="DP4" t="e">
        <f>AND(Prácticas!J27,"AAAAAGf3XXc=")</f>
        <v>#VALUE!</v>
      </c>
      <c r="DQ4" t="e">
        <f>AND(Prácticas!K27,"AAAAAGf3XXg=")</f>
        <v>#VALUE!</v>
      </c>
      <c r="DR4" t="e">
        <f>AND(Prácticas!L27,"AAAAAGf3XXk=")</f>
        <v>#VALUE!</v>
      </c>
      <c r="DS4" t="e">
        <f>AND(Prácticas!M27,"AAAAAGf3XXo=")</f>
        <v>#VALUE!</v>
      </c>
      <c r="DT4" t="e">
        <f>AND(Prácticas!N27,"AAAAAGf3XXs=")</f>
        <v>#VALUE!</v>
      </c>
      <c r="DU4" t="e">
        <f>AND(Prácticas!O27,"AAAAAGf3XXw=")</f>
        <v>#VALUE!</v>
      </c>
      <c r="DV4" t="e">
        <f>AND(Prácticas!P27,"AAAAAGf3XX0=")</f>
        <v>#VALUE!</v>
      </c>
      <c r="DW4">
        <f>IF(Prácticas!28:28,"AAAAAGf3XX4=",0)</f>
        <v>0</v>
      </c>
      <c r="DX4" t="e">
        <f>AND(Prácticas!A28,"AAAAAGf3XX8=")</f>
        <v>#VALUE!</v>
      </c>
      <c r="DY4" t="e">
        <f>AND(Prácticas!B28,"AAAAAGf3XYA=")</f>
        <v>#VALUE!</v>
      </c>
      <c r="DZ4" t="e">
        <f>AND(Prácticas!C28,"AAAAAGf3XYE=")</f>
        <v>#VALUE!</v>
      </c>
      <c r="EA4" t="e">
        <f>AND(Prácticas!D28,"AAAAAGf3XYI=")</f>
        <v>#VALUE!</v>
      </c>
      <c r="EB4" t="e">
        <f>AND(Prácticas!E28,"AAAAAGf3XYM=")</f>
        <v>#VALUE!</v>
      </c>
      <c r="EC4" t="e">
        <f>AND(Prácticas!F28,"AAAAAGf3XYQ=")</f>
        <v>#VALUE!</v>
      </c>
      <c r="ED4" t="e">
        <f>AND(Prácticas!G28,"AAAAAGf3XYU=")</f>
        <v>#VALUE!</v>
      </c>
      <c r="EE4" t="e">
        <f>AND(Prácticas!H28,"AAAAAGf3XYY=")</f>
        <v>#VALUE!</v>
      </c>
      <c r="EF4" t="e">
        <f>AND(Prácticas!I28,"AAAAAGf3XYc=")</f>
        <v>#VALUE!</v>
      </c>
      <c r="EG4" t="e">
        <f>AND(Prácticas!J28,"AAAAAGf3XYg=")</f>
        <v>#VALUE!</v>
      </c>
      <c r="EH4" t="e">
        <f>AND(Prácticas!K28,"AAAAAGf3XYk=")</f>
        <v>#VALUE!</v>
      </c>
      <c r="EI4" t="e">
        <f>AND(Prácticas!L28,"AAAAAGf3XYo=")</f>
        <v>#VALUE!</v>
      </c>
      <c r="EJ4" t="e">
        <f>AND(Prácticas!M28,"AAAAAGf3XYs=")</f>
        <v>#VALUE!</v>
      </c>
      <c r="EK4" t="e">
        <f>AND(Prácticas!N28,"AAAAAGf3XYw=")</f>
        <v>#VALUE!</v>
      </c>
      <c r="EL4" t="e">
        <f>AND(Prácticas!O28,"AAAAAGf3XY0=")</f>
        <v>#VALUE!</v>
      </c>
      <c r="EM4" t="e">
        <f>AND(Prácticas!P28,"AAAAAGf3XY4=")</f>
        <v>#VALUE!</v>
      </c>
      <c r="EN4">
        <f>IF(Prácticas!29:29,"AAAAAGf3XY8=",0)</f>
        <v>0</v>
      </c>
      <c r="EO4" t="e">
        <f>AND(Prácticas!A29,"AAAAAGf3XZA=")</f>
        <v>#VALUE!</v>
      </c>
      <c r="EP4" t="e">
        <f>AND(Prácticas!B29,"AAAAAGf3XZE=")</f>
        <v>#VALUE!</v>
      </c>
      <c r="EQ4" t="e">
        <f>AND(Prácticas!C29,"AAAAAGf3XZI=")</f>
        <v>#VALUE!</v>
      </c>
      <c r="ER4" t="e">
        <f>AND(Prácticas!D29,"AAAAAGf3XZM=")</f>
        <v>#VALUE!</v>
      </c>
      <c r="ES4" t="e">
        <f>AND(Prácticas!E29,"AAAAAGf3XZQ=")</f>
        <v>#VALUE!</v>
      </c>
      <c r="ET4" t="e">
        <f>AND(Prácticas!F29,"AAAAAGf3XZU=")</f>
        <v>#VALUE!</v>
      </c>
      <c r="EU4" t="e">
        <f>AND(Prácticas!G29,"AAAAAGf3XZY=")</f>
        <v>#VALUE!</v>
      </c>
      <c r="EV4" t="e">
        <f>AND(Prácticas!H29,"AAAAAGf3XZc=")</f>
        <v>#VALUE!</v>
      </c>
      <c r="EW4" t="e">
        <f>AND(Prácticas!I29,"AAAAAGf3XZg=")</f>
        <v>#VALUE!</v>
      </c>
      <c r="EX4" t="e">
        <f>AND(Prácticas!J29,"AAAAAGf3XZk=")</f>
        <v>#VALUE!</v>
      </c>
      <c r="EY4" t="e">
        <f>AND(Prácticas!K29,"AAAAAGf3XZo=")</f>
        <v>#VALUE!</v>
      </c>
      <c r="EZ4" t="e">
        <f>AND(Prácticas!L29,"AAAAAGf3XZs=")</f>
        <v>#VALUE!</v>
      </c>
      <c r="FA4" t="e">
        <f>AND(Prácticas!M29,"AAAAAGf3XZw=")</f>
        <v>#VALUE!</v>
      </c>
      <c r="FB4" t="e">
        <f>AND(Prácticas!N29,"AAAAAGf3XZ0=")</f>
        <v>#VALUE!</v>
      </c>
      <c r="FC4" t="e">
        <f>AND(Prácticas!O29,"AAAAAGf3XZ4=")</f>
        <v>#VALUE!</v>
      </c>
      <c r="FD4" t="e">
        <f>AND(Prácticas!P29,"AAAAAGf3XZ8=")</f>
        <v>#VALUE!</v>
      </c>
      <c r="FE4" t="e">
        <f>IF(Prácticas!A:A,"AAAAAGf3XaA=",0)</f>
        <v>#VALUE!</v>
      </c>
      <c r="FF4">
        <f>IF(Prácticas!B:B,"AAAAAGf3XaE=",0)</f>
        <v>0</v>
      </c>
      <c r="FG4">
        <f>IF(Prácticas!C:C,"AAAAAGf3XaI=",0)</f>
        <v>0</v>
      </c>
      <c r="FH4">
        <f>IF(Prácticas!D:D,"AAAAAGf3XaM=",0)</f>
        <v>0</v>
      </c>
      <c r="FI4">
        <f>IF(Prácticas!E:E,"AAAAAGf3XaQ=",0)</f>
        <v>0</v>
      </c>
      <c r="FJ4">
        <f>IF(Prácticas!F:F,"AAAAAGf3XaU=",0)</f>
        <v>0</v>
      </c>
      <c r="FK4">
        <f>IF(Prácticas!G:G,"AAAAAGf3XaY=",0)</f>
        <v>0</v>
      </c>
      <c r="FL4">
        <f>IF(Prácticas!H:H,"AAAAAGf3Xac=",0)</f>
        <v>0</v>
      </c>
      <c r="FM4">
        <f>IF(Prácticas!I:I,"AAAAAGf3Xag=",0)</f>
        <v>0</v>
      </c>
      <c r="FN4">
        <f>IF(Prácticas!J:J,"AAAAAGf3Xak=",0)</f>
        <v>0</v>
      </c>
      <c r="FO4">
        <f>IF(Prácticas!K:K,"AAAAAGf3Xao=",0)</f>
        <v>0</v>
      </c>
      <c r="FP4">
        <f>IF(Prácticas!L:L,"AAAAAGf3Xas=",0)</f>
        <v>0</v>
      </c>
      <c r="FQ4">
        <f>IF(Prácticas!M:M,"AAAAAGf3Xaw=",0)</f>
        <v>0</v>
      </c>
      <c r="FR4">
        <f>IF(Prácticas!N:N,"AAAAAGf3Xa0=",0)</f>
        <v>0</v>
      </c>
      <c r="FS4">
        <f>IF(Prácticas!O:O,"AAAAAGf3Xa4=",0)</f>
        <v>0</v>
      </c>
      <c r="FT4">
        <f>IF(Prácticas!P:P,"AAAAAGf3Xa8=",0)</f>
        <v>0</v>
      </c>
      <c r="FU4">
        <f>IF(TareasProgramadas!1:1,"AAAAAGf3XbA=",0)</f>
        <v>0</v>
      </c>
      <c r="FV4" t="e">
        <f>AND(TareasProgramadas!A1,"AAAAAGf3XbE=")</f>
        <v>#VALUE!</v>
      </c>
      <c r="FW4" t="e">
        <f>AND(TareasProgramadas!B1,"AAAAAGf3XbI=")</f>
        <v>#VALUE!</v>
      </c>
      <c r="FX4" t="e">
        <f>AND(TareasProgramadas!C1,"AAAAAGf3XbM=")</f>
        <v>#VALUE!</v>
      </c>
      <c r="FY4" t="e">
        <f>AND(TareasProgramadas!D1,"AAAAAGf3XbQ=")</f>
        <v>#VALUE!</v>
      </c>
      <c r="FZ4" t="e">
        <f>AND(TareasProgramadas!E1,"AAAAAGf3XbU=")</f>
        <v>#VALUE!</v>
      </c>
      <c r="GA4" t="e">
        <f>AND(TareasProgramadas!F1,"AAAAAGf3XbY=")</f>
        <v>#VALUE!</v>
      </c>
      <c r="GB4">
        <f>IF(TareasProgramadas!2:2,"AAAAAGf3Xbc=",0)</f>
        <v>0</v>
      </c>
      <c r="GC4" t="e">
        <f>AND(TareasProgramadas!A2,"AAAAAGf3Xbg=")</f>
        <v>#VALUE!</v>
      </c>
      <c r="GD4" t="e">
        <f>AND(TareasProgramadas!B2,"AAAAAGf3Xbk=")</f>
        <v>#VALUE!</v>
      </c>
      <c r="GE4" t="e">
        <f>AND(TareasProgramadas!C2,"AAAAAGf3Xbo=")</f>
        <v>#VALUE!</v>
      </c>
      <c r="GF4" t="e">
        <f>AND(TareasProgramadas!D2,"AAAAAGf3Xbs=")</f>
        <v>#VALUE!</v>
      </c>
      <c r="GG4" t="e">
        <f>AND(TareasProgramadas!E2,"AAAAAGf3Xbw=")</f>
        <v>#VALUE!</v>
      </c>
      <c r="GH4" t="e">
        <f>AND(TareasProgramadas!F2,"AAAAAGf3Xb0=")</f>
        <v>#VALUE!</v>
      </c>
      <c r="GI4">
        <f>IF(TareasProgramadas!3:3,"AAAAAGf3Xb4=",0)</f>
        <v>0</v>
      </c>
      <c r="GJ4" t="e">
        <f>AND(TareasProgramadas!A3,"AAAAAGf3Xb8=")</f>
        <v>#VALUE!</v>
      </c>
      <c r="GK4" t="e">
        <f>AND(TareasProgramadas!B3,"AAAAAGf3XcA=")</f>
        <v>#VALUE!</v>
      </c>
      <c r="GL4" t="e">
        <f>AND(TareasProgramadas!C3,"AAAAAGf3XcE=")</f>
        <v>#VALUE!</v>
      </c>
      <c r="GM4" t="e">
        <f>AND(TareasProgramadas!D3,"AAAAAGf3XcI=")</f>
        <v>#VALUE!</v>
      </c>
      <c r="GN4" t="e">
        <f>AND(TareasProgramadas!E3,"AAAAAGf3XcM=")</f>
        <v>#VALUE!</v>
      </c>
      <c r="GO4" t="e">
        <f>AND(TareasProgramadas!F3,"AAAAAGf3XcQ=")</f>
        <v>#VALUE!</v>
      </c>
      <c r="GP4">
        <f>IF(TareasProgramadas!4:4,"AAAAAGf3XcU=",0)</f>
        <v>0</v>
      </c>
      <c r="GQ4" t="e">
        <f>AND(TareasProgramadas!A4,"AAAAAGf3XcY=")</f>
        <v>#VALUE!</v>
      </c>
      <c r="GR4" t="e">
        <f>AND(TareasProgramadas!B4,"AAAAAGf3Xcc=")</f>
        <v>#VALUE!</v>
      </c>
      <c r="GS4" t="e">
        <f>AND(TareasProgramadas!C4,"AAAAAGf3Xcg=")</f>
        <v>#VALUE!</v>
      </c>
      <c r="GT4" t="e">
        <f>AND(TareasProgramadas!D4,"AAAAAGf3Xck=")</f>
        <v>#VALUE!</v>
      </c>
      <c r="GU4" t="e">
        <f>AND(TareasProgramadas!E4,"AAAAAGf3Xco=")</f>
        <v>#VALUE!</v>
      </c>
      <c r="GV4" t="e">
        <f>AND(TareasProgramadas!F4,"AAAAAGf3Xcs=")</f>
        <v>#VALUE!</v>
      </c>
      <c r="GW4">
        <f>IF(TareasProgramadas!5:5,"AAAAAGf3Xcw=",0)</f>
        <v>0</v>
      </c>
      <c r="GX4" t="e">
        <f>AND(TareasProgramadas!A5,"AAAAAGf3Xc0=")</f>
        <v>#VALUE!</v>
      </c>
      <c r="GY4" t="e">
        <f>AND(TareasProgramadas!B5,"AAAAAGf3Xc4=")</f>
        <v>#VALUE!</v>
      </c>
      <c r="GZ4" t="e">
        <f>AND(TareasProgramadas!C5,"AAAAAGf3Xc8=")</f>
        <v>#VALUE!</v>
      </c>
      <c r="HA4" t="e">
        <f>AND(TareasProgramadas!D5,"AAAAAGf3XdA=")</f>
        <v>#VALUE!</v>
      </c>
      <c r="HB4" t="e">
        <f>AND(TareasProgramadas!E5,"AAAAAGf3XdE=")</f>
        <v>#VALUE!</v>
      </c>
      <c r="HC4" t="e">
        <f>AND(TareasProgramadas!F5,"AAAAAGf3XdI=")</f>
        <v>#VALUE!</v>
      </c>
      <c r="HD4">
        <f>IF(TareasProgramadas!6:6,"AAAAAGf3XdM=",0)</f>
        <v>0</v>
      </c>
      <c r="HE4" t="e">
        <f>AND(TareasProgramadas!A6,"AAAAAGf3XdQ=")</f>
        <v>#VALUE!</v>
      </c>
      <c r="HF4" t="e">
        <f>AND(TareasProgramadas!B6,"AAAAAGf3XdU=")</f>
        <v>#VALUE!</v>
      </c>
      <c r="HG4" t="e">
        <f>AND(TareasProgramadas!C6,"AAAAAGf3XdY=")</f>
        <v>#VALUE!</v>
      </c>
      <c r="HH4" t="e">
        <f>AND(TareasProgramadas!D6,"AAAAAGf3Xdc=")</f>
        <v>#VALUE!</v>
      </c>
      <c r="HI4" t="e">
        <f>AND(TareasProgramadas!E6,"AAAAAGf3Xdg=")</f>
        <v>#VALUE!</v>
      </c>
      <c r="HJ4" t="e">
        <f>AND(TareasProgramadas!F6,"AAAAAGf3Xdk=")</f>
        <v>#VALUE!</v>
      </c>
      <c r="HK4">
        <f>IF(TareasProgramadas!7:7,"AAAAAGf3Xdo=",0)</f>
        <v>0</v>
      </c>
      <c r="HL4" t="e">
        <f>AND(TareasProgramadas!A7,"AAAAAGf3Xds=")</f>
        <v>#VALUE!</v>
      </c>
      <c r="HM4" t="e">
        <f>AND(TareasProgramadas!B7,"AAAAAGf3Xdw=")</f>
        <v>#VALUE!</v>
      </c>
      <c r="HN4" t="e">
        <f>AND(TareasProgramadas!C7,"AAAAAGf3Xd0=")</f>
        <v>#VALUE!</v>
      </c>
      <c r="HO4" t="e">
        <f>AND(TareasProgramadas!D7,"AAAAAGf3Xd4=")</f>
        <v>#VALUE!</v>
      </c>
      <c r="HP4" t="e">
        <f>AND(TareasProgramadas!E7,"AAAAAGf3Xd8=")</f>
        <v>#VALUE!</v>
      </c>
      <c r="HQ4" t="e">
        <f>AND(TareasProgramadas!F7,"AAAAAGf3XeA=")</f>
        <v>#VALUE!</v>
      </c>
      <c r="HR4">
        <f>IF(TareasProgramadas!8:8,"AAAAAGf3XeE=",0)</f>
        <v>0</v>
      </c>
      <c r="HS4" t="e">
        <f>AND(TareasProgramadas!A8,"AAAAAGf3XeI=")</f>
        <v>#VALUE!</v>
      </c>
      <c r="HT4" t="e">
        <f>AND(TareasProgramadas!B8,"AAAAAGf3XeM=")</f>
        <v>#VALUE!</v>
      </c>
      <c r="HU4" t="e">
        <f>AND(TareasProgramadas!C8,"AAAAAGf3XeQ=")</f>
        <v>#VALUE!</v>
      </c>
      <c r="HV4" t="e">
        <f>AND(TareasProgramadas!D8,"AAAAAGf3XeU=")</f>
        <v>#VALUE!</v>
      </c>
      <c r="HW4" t="e">
        <f>AND(TareasProgramadas!E8,"AAAAAGf3XeY=")</f>
        <v>#VALUE!</v>
      </c>
      <c r="HX4" t="e">
        <f>AND(TareasProgramadas!F8,"AAAAAGf3Xec=")</f>
        <v>#VALUE!</v>
      </c>
      <c r="HY4">
        <f>IF(TareasProgramadas!9:9,"AAAAAGf3Xeg=",0)</f>
        <v>0</v>
      </c>
      <c r="HZ4" t="e">
        <f>AND(TareasProgramadas!A9,"AAAAAGf3Xek=")</f>
        <v>#VALUE!</v>
      </c>
      <c r="IA4" t="e">
        <f>AND(TareasProgramadas!B9,"AAAAAGf3Xeo=")</f>
        <v>#VALUE!</v>
      </c>
      <c r="IB4" t="e">
        <f>AND(TareasProgramadas!C9,"AAAAAGf3Xes=")</f>
        <v>#VALUE!</v>
      </c>
      <c r="IC4" t="e">
        <f>AND(TareasProgramadas!D9,"AAAAAGf3Xew=")</f>
        <v>#VALUE!</v>
      </c>
      <c r="ID4" t="e">
        <f>AND(TareasProgramadas!E9,"AAAAAGf3Xe0=")</f>
        <v>#VALUE!</v>
      </c>
      <c r="IE4" t="e">
        <f>AND(TareasProgramadas!F9,"AAAAAGf3Xe4=")</f>
        <v>#VALUE!</v>
      </c>
      <c r="IF4">
        <f>IF(TareasProgramadas!10:10,"AAAAAGf3Xe8=",0)</f>
        <v>0</v>
      </c>
      <c r="IG4" t="e">
        <f>AND(TareasProgramadas!A10,"AAAAAGf3XfA=")</f>
        <v>#VALUE!</v>
      </c>
      <c r="IH4" t="e">
        <f>AND(TareasProgramadas!B10,"AAAAAGf3XfE=")</f>
        <v>#VALUE!</v>
      </c>
      <c r="II4" t="e">
        <f>AND(TareasProgramadas!C10,"AAAAAGf3XfI=")</f>
        <v>#VALUE!</v>
      </c>
      <c r="IJ4" t="e">
        <f>AND(TareasProgramadas!D10,"AAAAAGf3XfM=")</f>
        <v>#VALUE!</v>
      </c>
      <c r="IK4" t="e">
        <f>AND(TareasProgramadas!E10,"AAAAAGf3XfQ=")</f>
        <v>#VALUE!</v>
      </c>
      <c r="IL4" t="e">
        <f>AND(TareasProgramadas!F10,"AAAAAGf3XfU=")</f>
        <v>#VALUE!</v>
      </c>
      <c r="IM4">
        <f>IF(TareasProgramadas!11:11,"AAAAAGf3XfY=",0)</f>
        <v>0</v>
      </c>
      <c r="IN4" t="e">
        <f>AND(TareasProgramadas!A11,"AAAAAGf3Xfc=")</f>
        <v>#VALUE!</v>
      </c>
      <c r="IO4" t="e">
        <f>AND(TareasProgramadas!B11,"AAAAAGf3Xfg=")</f>
        <v>#VALUE!</v>
      </c>
      <c r="IP4" t="e">
        <f>AND(TareasProgramadas!C11,"AAAAAGf3Xfk=")</f>
        <v>#VALUE!</v>
      </c>
      <c r="IQ4" t="e">
        <f>AND(TareasProgramadas!D11,"AAAAAGf3Xfo=")</f>
        <v>#VALUE!</v>
      </c>
      <c r="IR4" t="e">
        <f>AND(TareasProgramadas!E11,"AAAAAGf3Xfs=")</f>
        <v>#VALUE!</v>
      </c>
      <c r="IS4" t="e">
        <f>AND(TareasProgramadas!F11,"AAAAAGf3Xfw=")</f>
        <v>#VALUE!</v>
      </c>
      <c r="IT4">
        <f>IF(TareasProgramadas!12:12,"AAAAAGf3Xf0=",0)</f>
        <v>0</v>
      </c>
      <c r="IU4" t="e">
        <f>AND(TareasProgramadas!A12,"AAAAAGf3Xf4=")</f>
        <v>#VALUE!</v>
      </c>
      <c r="IV4" t="e">
        <f>AND(TareasProgramadas!B12,"AAAAAGf3Xf8=")</f>
        <v>#VALUE!</v>
      </c>
    </row>
    <row r="5" spans="1:256" ht="12.75">
      <c r="A5" t="e">
        <f>AND(TareasProgramadas!C12,"AAAAAHe3vwA=")</f>
        <v>#VALUE!</v>
      </c>
      <c r="B5" t="e">
        <f>AND(TareasProgramadas!D12,"AAAAAHe3vwE=")</f>
        <v>#VALUE!</v>
      </c>
      <c r="C5" t="e">
        <f>AND(TareasProgramadas!E12,"AAAAAHe3vwI=")</f>
        <v>#VALUE!</v>
      </c>
      <c r="D5" t="e">
        <f>AND(TareasProgramadas!F12,"AAAAAHe3vwM=")</f>
        <v>#VALUE!</v>
      </c>
      <c r="E5" t="str">
        <f>IF(TareasProgramadas!13:13,"AAAAAHe3vwQ=",0)</f>
        <v>AAAAAHe3vwQ=</v>
      </c>
      <c r="F5" t="e">
        <f>AND(TareasProgramadas!A13,"AAAAAHe3vwU=")</f>
        <v>#VALUE!</v>
      </c>
      <c r="G5" t="e">
        <f>AND(TareasProgramadas!B13,"AAAAAHe3vwY=")</f>
        <v>#VALUE!</v>
      </c>
      <c r="H5" t="e">
        <f>AND(TareasProgramadas!C13,"AAAAAHe3vwc=")</f>
        <v>#VALUE!</v>
      </c>
      <c r="I5" t="e">
        <f>AND(TareasProgramadas!D13,"AAAAAHe3vwg=")</f>
        <v>#VALUE!</v>
      </c>
      <c r="J5" t="e">
        <f>AND(TareasProgramadas!E13,"AAAAAHe3vwk=")</f>
        <v>#VALUE!</v>
      </c>
      <c r="K5" t="e">
        <f>AND(TareasProgramadas!F13,"AAAAAHe3vwo=")</f>
        <v>#VALUE!</v>
      </c>
      <c r="L5">
        <f>IF(TareasProgramadas!14:14,"AAAAAHe3vws=",0)</f>
        <v>0</v>
      </c>
      <c r="M5" t="e">
        <f>AND(TareasProgramadas!A14,"AAAAAHe3vww=")</f>
        <v>#VALUE!</v>
      </c>
      <c r="N5" t="e">
        <f>AND(TareasProgramadas!B14,"AAAAAHe3vw0=")</f>
        <v>#VALUE!</v>
      </c>
      <c r="O5" t="e">
        <f>AND(TareasProgramadas!C14,"AAAAAHe3vw4=")</f>
        <v>#VALUE!</v>
      </c>
      <c r="P5" t="e">
        <f>AND(TareasProgramadas!D14,"AAAAAHe3vw8=")</f>
        <v>#VALUE!</v>
      </c>
      <c r="Q5" t="e">
        <f>AND(TareasProgramadas!E14,"AAAAAHe3vxA=")</f>
        <v>#VALUE!</v>
      </c>
      <c r="R5" t="e">
        <f>AND(TareasProgramadas!F14,"AAAAAHe3vxE=")</f>
        <v>#VALUE!</v>
      </c>
      <c r="S5">
        <f>IF(TareasProgramadas!15:15,"AAAAAHe3vxI=",0)</f>
        <v>0</v>
      </c>
      <c r="T5" t="e">
        <f>AND(TareasProgramadas!A15,"AAAAAHe3vxM=")</f>
        <v>#VALUE!</v>
      </c>
      <c r="U5" t="e">
        <f>AND(TareasProgramadas!B15,"AAAAAHe3vxQ=")</f>
        <v>#VALUE!</v>
      </c>
      <c r="V5" t="e">
        <f>AND(TareasProgramadas!C15,"AAAAAHe3vxU=")</f>
        <v>#VALUE!</v>
      </c>
      <c r="W5" t="e">
        <f>AND(TareasProgramadas!D15,"AAAAAHe3vxY=")</f>
        <v>#VALUE!</v>
      </c>
      <c r="X5" t="e">
        <f>AND(TareasProgramadas!E15,"AAAAAHe3vxc=")</f>
        <v>#VALUE!</v>
      </c>
      <c r="Y5" t="e">
        <f>AND(TareasProgramadas!F15,"AAAAAHe3vxg=")</f>
        <v>#VALUE!</v>
      </c>
      <c r="Z5">
        <f>IF(TareasProgramadas!16:16,"AAAAAHe3vxk=",0)</f>
        <v>0</v>
      </c>
      <c r="AA5" t="e">
        <f>AND(TareasProgramadas!A16,"AAAAAHe3vxo=")</f>
        <v>#VALUE!</v>
      </c>
      <c r="AB5" t="e">
        <f>AND(TareasProgramadas!B16,"AAAAAHe3vxs=")</f>
        <v>#VALUE!</v>
      </c>
      <c r="AC5" t="e">
        <f>AND(TareasProgramadas!C16,"AAAAAHe3vxw=")</f>
        <v>#VALUE!</v>
      </c>
      <c r="AD5" t="e">
        <f>AND(TareasProgramadas!D16,"AAAAAHe3vx0=")</f>
        <v>#VALUE!</v>
      </c>
      <c r="AE5" t="e">
        <f>AND(TareasProgramadas!E16,"AAAAAHe3vx4=")</f>
        <v>#VALUE!</v>
      </c>
      <c r="AF5" t="e">
        <f>AND(TareasProgramadas!F16,"AAAAAHe3vx8=")</f>
        <v>#VALUE!</v>
      </c>
      <c r="AG5">
        <f>IF(TareasProgramadas!17:17,"AAAAAHe3vyA=",0)</f>
        <v>0</v>
      </c>
      <c r="AH5" t="e">
        <f>AND(TareasProgramadas!A17,"AAAAAHe3vyE=")</f>
        <v>#VALUE!</v>
      </c>
      <c r="AI5" t="e">
        <f>AND(TareasProgramadas!B17,"AAAAAHe3vyI=")</f>
        <v>#VALUE!</v>
      </c>
      <c r="AJ5" t="e">
        <f>AND(TareasProgramadas!C17,"AAAAAHe3vyM=")</f>
        <v>#VALUE!</v>
      </c>
      <c r="AK5" t="e">
        <f>AND(TareasProgramadas!D17,"AAAAAHe3vyQ=")</f>
        <v>#VALUE!</v>
      </c>
      <c r="AL5" t="e">
        <f>AND(TareasProgramadas!E17,"AAAAAHe3vyU=")</f>
        <v>#VALUE!</v>
      </c>
      <c r="AM5" t="e">
        <f>AND(TareasProgramadas!F17,"AAAAAHe3vyY=")</f>
        <v>#VALUE!</v>
      </c>
      <c r="AN5">
        <f>IF(TareasProgramadas!18:18,"AAAAAHe3vyc=",0)</f>
        <v>0</v>
      </c>
      <c r="AO5" t="e">
        <f>AND(TareasProgramadas!A18,"AAAAAHe3vyg=")</f>
        <v>#VALUE!</v>
      </c>
      <c r="AP5" t="e">
        <f>AND(TareasProgramadas!B18,"AAAAAHe3vyk=")</f>
        <v>#VALUE!</v>
      </c>
      <c r="AQ5" t="e">
        <f>AND(TareasProgramadas!C18,"AAAAAHe3vyo=")</f>
        <v>#VALUE!</v>
      </c>
      <c r="AR5" t="e">
        <f>AND(TareasProgramadas!D18,"AAAAAHe3vys=")</f>
        <v>#VALUE!</v>
      </c>
      <c r="AS5" t="e">
        <f>AND(TareasProgramadas!E18,"AAAAAHe3vyw=")</f>
        <v>#VALUE!</v>
      </c>
      <c r="AT5" t="e">
        <f>AND(TareasProgramadas!F18,"AAAAAHe3vy0=")</f>
        <v>#VALUE!</v>
      </c>
      <c r="AU5">
        <f>IF(TareasProgramadas!19:19,"AAAAAHe3vy4=",0)</f>
        <v>0</v>
      </c>
      <c r="AV5" t="e">
        <f>AND(TareasProgramadas!A19,"AAAAAHe3vy8=")</f>
        <v>#VALUE!</v>
      </c>
      <c r="AW5" t="e">
        <f>AND(TareasProgramadas!B19,"AAAAAHe3vzA=")</f>
        <v>#VALUE!</v>
      </c>
      <c r="AX5" t="e">
        <f>AND(TareasProgramadas!C19,"AAAAAHe3vzE=")</f>
        <v>#VALUE!</v>
      </c>
      <c r="AY5" t="e">
        <f>AND(TareasProgramadas!D19,"AAAAAHe3vzI=")</f>
        <v>#VALUE!</v>
      </c>
      <c r="AZ5" t="e">
        <f>AND(TareasProgramadas!E19,"AAAAAHe3vzM=")</f>
        <v>#VALUE!</v>
      </c>
      <c r="BA5" t="e">
        <f>AND(TareasProgramadas!F19,"AAAAAHe3vzQ=")</f>
        <v>#VALUE!</v>
      </c>
      <c r="BB5">
        <f>IF(TareasProgramadas!20:20,"AAAAAHe3vzU=",0)</f>
        <v>0</v>
      </c>
      <c r="BC5" t="e">
        <f>AND(TareasProgramadas!A20,"AAAAAHe3vzY=")</f>
        <v>#VALUE!</v>
      </c>
      <c r="BD5" t="e">
        <f>AND(TareasProgramadas!B20,"AAAAAHe3vzc=")</f>
        <v>#VALUE!</v>
      </c>
      <c r="BE5" t="e">
        <f>AND(TareasProgramadas!C20,"AAAAAHe3vzg=")</f>
        <v>#VALUE!</v>
      </c>
      <c r="BF5" t="e">
        <f>AND(TareasProgramadas!D20,"AAAAAHe3vzk=")</f>
        <v>#VALUE!</v>
      </c>
      <c r="BG5" t="e">
        <f>AND(TareasProgramadas!E20,"AAAAAHe3vzo=")</f>
        <v>#VALUE!</v>
      </c>
      <c r="BH5" t="e">
        <f>AND(TareasProgramadas!F20,"AAAAAHe3vzs=")</f>
        <v>#VALUE!</v>
      </c>
      <c r="BI5">
        <f>IF(TareasProgramadas!21:21,"AAAAAHe3vzw=",0)</f>
        <v>0</v>
      </c>
      <c r="BJ5" t="e">
        <f>AND(TareasProgramadas!A21,"AAAAAHe3vz0=")</f>
        <v>#VALUE!</v>
      </c>
      <c r="BK5" t="e">
        <f>AND(TareasProgramadas!B21,"AAAAAHe3vz4=")</f>
        <v>#VALUE!</v>
      </c>
      <c r="BL5" t="e">
        <f>AND(TareasProgramadas!C21,"AAAAAHe3vz8=")</f>
        <v>#VALUE!</v>
      </c>
      <c r="BM5" t="e">
        <f>AND(TareasProgramadas!D21,"AAAAAHe3v0A=")</f>
        <v>#VALUE!</v>
      </c>
      <c r="BN5" t="e">
        <f>AND(TareasProgramadas!E21,"AAAAAHe3v0E=")</f>
        <v>#VALUE!</v>
      </c>
      <c r="BO5" t="e">
        <f>AND(TareasProgramadas!F21,"AAAAAHe3v0I=")</f>
        <v>#VALUE!</v>
      </c>
      <c r="BP5">
        <f>IF(TareasProgramadas!22:22,"AAAAAHe3v0M=",0)</f>
        <v>0</v>
      </c>
      <c r="BQ5" t="e">
        <f>AND(TareasProgramadas!A22,"AAAAAHe3v0Q=")</f>
        <v>#VALUE!</v>
      </c>
      <c r="BR5" t="e">
        <f>AND(TareasProgramadas!B22,"AAAAAHe3v0U=")</f>
        <v>#VALUE!</v>
      </c>
      <c r="BS5" t="e">
        <f>AND(TareasProgramadas!C22,"AAAAAHe3v0Y=")</f>
        <v>#VALUE!</v>
      </c>
      <c r="BT5" t="e">
        <f>AND(TareasProgramadas!D22,"AAAAAHe3v0c=")</f>
        <v>#VALUE!</v>
      </c>
      <c r="BU5" t="e">
        <f>AND(TareasProgramadas!E22,"AAAAAHe3v0g=")</f>
        <v>#VALUE!</v>
      </c>
      <c r="BV5" t="e">
        <f>AND(TareasProgramadas!F22,"AAAAAHe3v0k=")</f>
        <v>#VALUE!</v>
      </c>
      <c r="BW5">
        <f>IF(TareasProgramadas!23:23,"AAAAAHe3v0o=",0)</f>
        <v>0</v>
      </c>
      <c r="BX5" t="e">
        <f>AND(TareasProgramadas!A23,"AAAAAHe3v0s=")</f>
        <v>#VALUE!</v>
      </c>
      <c r="BY5" t="e">
        <f>AND(TareasProgramadas!B23,"AAAAAHe3v0w=")</f>
        <v>#VALUE!</v>
      </c>
      <c r="BZ5" t="e">
        <f>AND(TareasProgramadas!C23,"AAAAAHe3v00=")</f>
        <v>#VALUE!</v>
      </c>
      <c r="CA5" t="e">
        <f>AND(TareasProgramadas!D23,"AAAAAHe3v04=")</f>
        <v>#VALUE!</v>
      </c>
      <c r="CB5" t="e">
        <f>AND(TareasProgramadas!E23,"AAAAAHe3v08=")</f>
        <v>#VALUE!</v>
      </c>
      <c r="CC5" t="e">
        <f>AND(TareasProgramadas!F23,"AAAAAHe3v1A=")</f>
        <v>#VALUE!</v>
      </c>
      <c r="CD5">
        <f>IF(TareasProgramadas!24:24,"AAAAAHe3v1E=",0)</f>
        <v>0</v>
      </c>
      <c r="CE5" t="e">
        <f>AND(TareasProgramadas!A24,"AAAAAHe3v1I=")</f>
        <v>#VALUE!</v>
      </c>
      <c r="CF5" t="e">
        <f>AND(TareasProgramadas!B24,"AAAAAHe3v1M=")</f>
        <v>#VALUE!</v>
      </c>
      <c r="CG5" t="e">
        <f>AND(TareasProgramadas!C24,"AAAAAHe3v1Q=")</f>
        <v>#VALUE!</v>
      </c>
      <c r="CH5" t="e">
        <f>AND(TareasProgramadas!D24,"AAAAAHe3v1U=")</f>
        <v>#VALUE!</v>
      </c>
      <c r="CI5" t="e">
        <f>AND(TareasProgramadas!E24,"AAAAAHe3v1Y=")</f>
        <v>#VALUE!</v>
      </c>
      <c r="CJ5" t="e">
        <f>AND(TareasProgramadas!F24,"AAAAAHe3v1c=")</f>
        <v>#VALUE!</v>
      </c>
      <c r="CK5">
        <f>IF(TareasProgramadas!25:25,"AAAAAHe3v1g=",0)</f>
        <v>0</v>
      </c>
      <c r="CL5" t="e">
        <f>AND(TareasProgramadas!A25,"AAAAAHe3v1k=")</f>
        <v>#VALUE!</v>
      </c>
      <c r="CM5" t="e">
        <f>AND(TareasProgramadas!B25,"AAAAAHe3v1o=")</f>
        <v>#VALUE!</v>
      </c>
      <c r="CN5" t="e">
        <f>AND(TareasProgramadas!C25,"AAAAAHe3v1s=")</f>
        <v>#VALUE!</v>
      </c>
      <c r="CO5" t="e">
        <f>AND(TareasProgramadas!D25,"AAAAAHe3v1w=")</f>
        <v>#VALUE!</v>
      </c>
      <c r="CP5" t="e">
        <f>AND(TareasProgramadas!E25,"AAAAAHe3v10=")</f>
        <v>#VALUE!</v>
      </c>
      <c r="CQ5" t="e">
        <f>AND(TareasProgramadas!F25,"AAAAAHe3v14=")</f>
        <v>#VALUE!</v>
      </c>
      <c r="CR5">
        <f>IF(TareasProgramadas!26:26,"AAAAAHe3v18=",0)</f>
        <v>0</v>
      </c>
      <c r="CS5" t="e">
        <f>AND(TareasProgramadas!A26,"AAAAAHe3v2A=")</f>
        <v>#VALUE!</v>
      </c>
      <c r="CT5" t="e">
        <f>AND(TareasProgramadas!B26,"AAAAAHe3v2E=")</f>
        <v>#VALUE!</v>
      </c>
      <c r="CU5" t="e">
        <f>AND(TareasProgramadas!C26,"AAAAAHe3v2I=")</f>
        <v>#VALUE!</v>
      </c>
      <c r="CV5" t="e">
        <f>AND(TareasProgramadas!D26,"AAAAAHe3v2M=")</f>
        <v>#VALUE!</v>
      </c>
      <c r="CW5" t="e">
        <f>AND(TareasProgramadas!E26,"AAAAAHe3v2Q=")</f>
        <v>#VALUE!</v>
      </c>
      <c r="CX5" t="e">
        <f>AND(TareasProgramadas!F26,"AAAAAHe3v2U=")</f>
        <v>#VALUE!</v>
      </c>
      <c r="CY5">
        <f>IF(TareasProgramadas!27:27,"AAAAAHe3v2Y=",0)</f>
        <v>0</v>
      </c>
      <c r="CZ5" t="e">
        <f>AND(TareasProgramadas!A27,"AAAAAHe3v2c=")</f>
        <v>#VALUE!</v>
      </c>
      <c r="DA5" t="e">
        <f>AND(TareasProgramadas!B27,"AAAAAHe3v2g=")</f>
        <v>#VALUE!</v>
      </c>
      <c r="DB5" t="e">
        <f>AND(TareasProgramadas!C27,"AAAAAHe3v2k=")</f>
        <v>#VALUE!</v>
      </c>
      <c r="DC5" t="e">
        <f>AND(TareasProgramadas!D27,"AAAAAHe3v2o=")</f>
        <v>#VALUE!</v>
      </c>
      <c r="DD5" t="e">
        <f>AND(TareasProgramadas!E27,"AAAAAHe3v2s=")</f>
        <v>#VALUE!</v>
      </c>
      <c r="DE5" t="e">
        <f>AND(TareasProgramadas!F27,"AAAAAHe3v2w=")</f>
        <v>#VALUE!</v>
      </c>
      <c r="DF5">
        <f>IF(TareasProgramadas!28:28,"AAAAAHe3v20=",0)</f>
        <v>0</v>
      </c>
      <c r="DG5" t="e">
        <f>AND(TareasProgramadas!A28,"AAAAAHe3v24=")</f>
        <v>#VALUE!</v>
      </c>
      <c r="DH5" t="e">
        <f>AND(TareasProgramadas!B28,"AAAAAHe3v28=")</f>
        <v>#VALUE!</v>
      </c>
      <c r="DI5" t="e">
        <f>AND(TareasProgramadas!C28,"AAAAAHe3v3A=")</f>
        <v>#VALUE!</v>
      </c>
      <c r="DJ5" t="e">
        <f>AND(TareasProgramadas!D28,"AAAAAHe3v3E=")</f>
        <v>#VALUE!</v>
      </c>
      <c r="DK5" t="e">
        <f>AND(TareasProgramadas!E28,"AAAAAHe3v3I=")</f>
        <v>#VALUE!</v>
      </c>
      <c r="DL5" t="e">
        <f>AND(TareasProgramadas!F28,"AAAAAHe3v3M=")</f>
        <v>#VALUE!</v>
      </c>
      <c r="DM5">
        <f>IF(TareasProgramadas!29:29,"AAAAAHe3v3Q=",0)</f>
        <v>0</v>
      </c>
      <c r="DN5" t="e">
        <f>AND(TareasProgramadas!A29,"AAAAAHe3v3U=")</f>
        <v>#VALUE!</v>
      </c>
      <c r="DO5" t="e">
        <f>AND(TareasProgramadas!B29,"AAAAAHe3v3Y=")</f>
        <v>#VALUE!</v>
      </c>
      <c r="DP5" t="e">
        <f>AND(TareasProgramadas!C29,"AAAAAHe3v3c=")</f>
        <v>#VALUE!</v>
      </c>
      <c r="DQ5" t="e">
        <f>AND(TareasProgramadas!D29,"AAAAAHe3v3g=")</f>
        <v>#VALUE!</v>
      </c>
      <c r="DR5" t="e">
        <f>AND(TareasProgramadas!E29,"AAAAAHe3v3k=")</f>
        <v>#VALUE!</v>
      </c>
      <c r="DS5" t="e">
        <f>AND(TareasProgramadas!F29,"AAAAAHe3v3o=")</f>
        <v>#VALUE!</v>
      </c>
      <c r="DT5" t="e">
        <f>IF(TareasProgramadas!A:A,"AAAAAHe3v3s=",0)</f>
        <v>#VALUE!</v>
      </c>
      <c r="DU5">
        <f>IF(TareasProgramadas!B:B,"AAAAAHe3v3w=",0)</f>
        <v>0</v>
      </c>
      <c r="DV5">
        <f>IF(TareasProgramadas!C:C,"AAAAAHe3v30=",0)</f>
        <v>0</v>
      </c>
      <c r="DW5">
        <f>IF(TareasProgramadas!D:D,"AAAAAHe3v34=",0)</f>
        <v>0</v>
      </c>
      <c r="DX5">
        <f>IF(TareasProgramadas!E:E,"AAAAAHe3v38=",0)</f>
        <v>0</v>
      </c>
      <c r="DY5">
        <f>IF(TareasProgramadas!F:F,"AAAAAHe3v4A=",0)</f>
        <v>0</v>
      </c>
      <c r="DZ5">
        <f>IF(TareasProgramadas!G:G,"AAAAAHe3v4E=",0)</f>
        <v>0</v>
      </c>
      <c r="EA5">
        <f>IF(TareasProgramadas!H:H,"AAAAAHe3v4I=",0)</f>
        <v>0</v>
      </c>
      <c r="EB5">
        <f>IF(TareasProgramadas!I:I,"AAAAAHe3v4M=",0)</f>
        <v>0</v>
      </c>
      <c r="EC5">
        <f>IF(TareasProgramadas!J:J,"AAAAAHe3v4Q=",0)</f>
        <v>0</v>
      </c>
      <c r="ED5">
        <f>IF(TareasProgramadas!K:K,"AAAAAHe3v4U=",0)</f>
        <v>0</v>
      </c>
      <c r="EE5">
        <f>IF(TareasProgramadas!L:L,"AAAAAHe3v4Y=",0)</f>
        <v>0</v>
      </c>
      <c r="EF5">
        <f>IF(TareasProgramadas!M:M,"AAAAAHe3v4c=",0)</f>
        <v>0</v>
      </c>
      <c r="EG5">
        <f>IF(Proyecto!1:1,"AAAAAHe3v4g=",0)</f>
        <v>0</v>
      </c>
      <c r="EH5" t="e">
        <f>AND(Proyecto!A1,"AAAAAHe3v4k=")</f>
        <v>#VALUE!</v>
      </c>
      <c r="EI5" t="e">
        <f>AND(Proyecto!B1,"AAAAAHe3v4o=")</f>
        <v>#VALUE!</v>
      </c>
      <c r="EJ5" t="e">
        <f>AND(Proyecto!C1,"AAAAAHe3v4s=")</f>
        <v>#VALUE!</v>
      </c>
      <c r="EK5" t="e">
        <f>AND(Proyecto!D1,"AAAAAHe3v4w=")</f>
        <v>#VALUE!</v>
      </c>
      <c r="EL5" t="e">
        <f>AND(Proyecto!E1,"AAAAAHe3v40=")</f>
        <v>#VALUE!</v>
      </c>
      <c r="EM5" t="e">
        <f>AND(Proyecto!F1,"AAAAAHe3v44=")</f>
        <v>#VALUE!</v>
      </c>
      <c r="EN5" t="e">
        <f>AND(Proyecto!G1,"AAAAAHe3v48=")</f>
        <v>#VALUE!</v>
      </c>
      <c r="EO5" t="e">
        <f>AND(Proyecto!H1,"AAAAAHe3v5A=")</f>
        <v>#VALUE!</v>
      </c>
      <c r="EP5" t="e">
        <f>AND(Proyecto!I1,"AAAAAHe3v5E=")</f>
        <v>#VALUE!</v>
      </c>
      <c r="EQ5" t="e">
        <f>AND(Proyecto!J1,"AAAAAHe3v5I=")</f>
        <v>#VALUE!</v>
      </c>
      <c r="ER5">
        <f>IF(Proyecto!2:2,"AAAAAHe3v5M=",0)</f>
        <v>0</v>
      </c>
      <c r="ES5" t="e">
        <f>AND(Proyecto!A2,"AAAAAHe3v5Q=")</f>
        <v>#VALUE!</v>
      </c>
      <c r="ET5" t="e">
        <f>AND(Proyecto!B2,"AAAAAHe3v5U=")</f>
        <v>#VALUE!</v>
      </c>
      <c r="EU5" t="e">
        <f>AND(Proyecto!C2,"AAAAAHe3v5Y=")</f>
        <v>#VALUE!</v>
      </c>
      <c r="EV5" t="e">
        <f>AND(Proyecto!D2,"AAAAAHe3v5c=")</f>
        <v>#VALUE!</v>
      </c>
      <c r="EW5" t="e">
        <f>AND(Proyecto!E2,"AAAAAHe3v5g=")</f>
        <v>#VALUE!</v>
      </c>
      <c r="EX5" t="e">
        <f>AND(Proyecto!F2,"AAAAAHe3v5k=")</f>
        <v>#VALUE!</v>
      </c>
      <c r="EY5" t="e">
        <f>AND(Proyecto!G2,"AAAAAHe3v5o=")</f>
        <v>#VALUE!</v>
      </c>
      <c r="EZ5" t="e">
        <f>AND(Proyecto!H2,"AAAAAHe3v5s=")</f>
        <v>#VALUE!</v>
      </c>
      <c r="FA5" t="e">
        <f>AND(Proyecto!I2,"AAAAAHe3v5w=")</f>
        <v>#VALUE!</v>
      </c>
      <c r="FB5" t="e">
        <f>AND(Proyecto!J2,"AAAAAHe3v50=")</f>
        <v>#VALUE!</v>
      </c>
      <c r="FC5">
        <f>IF(Proyecto!3:3,"AAAAAHe3v54=",0)</f>
        <v>0</v>
      </c>
      <c r="FD5" t="e">
        <f>AND(Proyecto!A3,"AAAAAHe3v58=")</f>
        <v>#VALUE!</v>
      </c>
      <c r="FE5" t="e">
        <f>AND(Proyecto!B3,"AAAAAHe3v6A=")</f>
        <v>#VALUE!</v>
      </c>
      <c r="FF5" t="e">
        <f>AND(Proyecto!C3,"AAAAAHe3v6E=")</f>
        <v>#VALUE!</v>
      </c>
      <c r="FG5" t="e">
        <f>AND(Proyecto!D3,"AAAAAHe3v6I=")</f>
        <v>#VALUE!</v>
      </c>
      <c r="FH5" t="e">
        <f>AND(Proyecto!E3,"AAAAAHe3v6M=")</f>
        <v>#VALUE!</v>
      </c>
      <c r="FI5" t="e">
        <f>AND(Proyecto!F3,"AAAAAHe3v6Q=")</f>
        <v>#VALUE!</v>
      </c>
      <c r="FJ5" t="e">
        <f>AND(Proyecto!G3,"AAAAAHe3v6U=")</f>
        <v>#VALUE!</v>
      </c>
      <c r="FK5" t="e">
        <f>AND(Proyecto!H3,"AAAAAHe3v6Y=")</f>
        <v>#VALUE!</v>
      </c>
      <c r="FL5" t="e">
        <f>AND(Proyecto!I3,"AAAAAHe3v6c=")</f>
        <v>#VALUE!</v>
      </c>
      <c r="FM5" t="e">
        <f>AND(Proyecto!J3,"AAAAAHe3v6g=")</f>
        <v>#VALUE!</v>
      </c>
      <c r="FN5">
        <f>IF(Proyecto!4:4,"AAAAAHe3v6k=",0)</f>
        <v>0</v>
      </c>
      <c r="FO5" t="e">
        <f>AND(Proyecto!A4,"AAAAAHe3v6o=")</f>
        <v>#VALUE!</v>
      </c>
      <c r="FP5" t="e">
        <f>AND(Proyecto!B4,"AAAAAHe3v6s=")</f>
        <v>#VALUE!</v>
      </c>
      <c r="FQ5" t="e">
        <f>AND(Proyecto!C4,"AAAAAHe3v6w=")</f>
        <v>#VALUE!</v>
      </c>
      <c r="FR5" t="e">
        <f>AND(Proyecto!D4,"AAAAAHe3v60=")</f>
        <v>#VALUE!</v>
      </c>
      <c r="FS5" t="e">
        <f>AND(Proyecto!E4,"AAAAAHe3v64=")</f>
        <v>#VALUE!</v>
      </c>
      <c r="FT5" t="e">
        <f>AND(Proyecto!F4,"AAAAAHe3v68=")</f>
        <v>#VALUE!</v>
      </c>
      <c r="FU5" t="e">
        <f>AND(Proyecto!G4,"AAAAAHe3v7A=")</f>
        <v>#VALUE!</v>
      </c>
      <c r="FV5" t="e">
        <f>AND(Proyecto!H4,"AAAAAHe3v7E=")</f>
        <v>#VALUE!</v>
      </c>
      <c r="FW5" t="e">
        <f>AND(Proyecto!I4,"AAAAAHe3v7I=")</f>
        <v>#VALUE!</v>
      </c>
      <c r="FX5" t="e">
        <f>AND(Proyecto!J4,"AAAAAHe3v7M=")</f>
        <v>#VALUE!</v>
      </c>
      <c r="FY5">
        <f>IF(Proyecto!5:5,"AAAAAHe3v7Q=",0)</f>
        <v>0</v>
      </c>
      <c r="FZ5" t="e">
        <f>AND(Proyecto!A5,"AAAAAHe3v7U=")</f>
        <v>#VALUE!</v>
      </c>
      <c r="GA5" t="e">
        <f>AND(Proyecto!B5,"AAAAAHe3v7Y=")</f>
        <v>#VALUE!</v>
      </c>
      <c r="GB5" t="e">
        <f>AND(Proyecto!C5,"AAAAAHe3v7c=")</f>
        <v>#VALUE!</v>
      </c>
      <c r="GC5" t="e">
        <f>AND(Proyecto!D5,"AAAAAHe3v7g=")</f>
        <v>#VALUE!</v>
      </c>
      <c r="GD5" t="e">
        <f>AND(Proyecto!E5,"AAAAAHe3v7k=")</f>
        <v>#VALUE!</v>
      </c>
      <c r="GE5" t="e">
        <f>AND(Proyecto!F5,"AAAAAHe3v7o=")</f>
        <v>#VALUE!</v>
      </c>
      <c r="GF5" t="e">
        <f>AND(Proyecto!G5,"AAAAAHe3v7s=")</f>
        <v>#VALUE!</v>
      </c>
      <c r="GG5" t="e">
        <f>AND(Proyecto!H5,"AAAAAHe3v7w=")</f>
        <v>#VALUE!</v>
      </c>
      <c r="GH5" t="e">
        <f>AND(Proyecto!I5,"AAAAAHe3v70=")</f>
        <v>#VALUE!</v>
      </c>
      <c r="GI5" t="e">
        <f>AND(Proyecto!J5,"AAAAAHe3v74=")</f>
        <v>#VALUE!</v>
      </c>
      <c r="GJ5">
        <f>IF(Proyecto!6:6,"AAAAAHe3v78=",0)</f>
        <v>0</v>
      </c>
      <c r="GK5" t="e">
        <f>AND(Proyecto!A6,"AAAAAHe3v8A=")</f>
        <v>#VALUE!</v>
      </c>
      <c r="GL5" t="e">
        <f>AND(Proyecto!B6,"AAAAAHe3v8E=")</f>
        <v>#VALUE!</v>
      </c>
      <c r="GM5" t="e">
        <f>AND(Proyecto!C6,"AAAAAHe3v8I=")</f>
        <v>#VALUE!</v>
      </c>
      <c r="GN5" t="e">
        <f>AND(Proyecto!D6,"AAAAAHe3v8M=")</f>
        <v>#VALUE!</v>
      </c>
      <c r="GO5">
        <f>IF(Proyecto!7:7,"AAAAAHe3v8Q=",0)</f>
        <v>0</v>
      </c>
      <c r="GP5" t="e">
        <f>AND(Proyecto!A7,"AAAAAHe3v8U=")</f>
        <v>#VALUE!</v>
      </c>
      <c r="GQ5" t="e">
        <f>AND(Proyecto!B7,"AAAAAHe3v8Y=")</f>
        <v>#VALUE!</v>
      </c>
      <c r="GR5" t="e">
        <f>AND(Proyecto!C7,"AAAAAHe3v8c=")</f>
        <v>#VALUE!</v>
      </c>
      <c r="GS5" t="e">
        <f>AND(Proyecto!D7,"AAAAAHe3v8g=")</f>
        <v>#VALUE!</v>
      </c>
      <c r="GT5">
        <f>IF(Proyecto!8:8,"AAAAAHe3v8k=",0)</f>
        <v>0</v>
      </c>
      <c r="GU5" t="e">
        <f>AND(Proyecto!A8,"AAAAAHe3v8o=")</f>
        <v>#VALUE!</v>
      </c>
      <c r="GV5" t="e">
        <f>AND(Proyecto!B8,"AAAAAHe3v8s=")</f>
        <v>#VALUE!</v>
      </c>
      <c r="GW5" t="e">
        <f>AND(Proyecto!C8,"AAAAAHe3v8w=")</f>
        <v>#VALUE!</v>
      </c>
      <c r="GX5" t="e">
        <f>AND(Proyecto!D8,"AAAAAHe3v80=")</f>
        <v>#VALUE!</v>
      </c>
      <c r="GY5">
        <f>IF(Proyecto!9:9,"AAAAAHe3v84=",0)</f>
        <v>0</v>
      </c>
      <c r="GZ5" t="e">
        <f>AND(Proyecto!A9,"AAAAAHe3v88=")</f>
        <v>#VALUE!</v>
      </c>
      <c r="HA5" t="e">
        <f>AND(Proyecto!B9,"AAAAAHe3v9A=")</f>
        <v>#VALUE!</v>
      </c>
      <c r="HB5" t="e">
        <f>AND(Proyecto!C9,"AAAAAHe3v9E=")</f>
        <v>#VALUE!</v>
      </c>
      <c r="HC5" t="e">
        <f>AND(Proyecto!D9,"AAAAAHe3v9I=")</f>
        <v>#VALUE!</v>
      </c>
      <c r="HD5">
        <f>IF(Proyecto!10:10,"AAAAAHe3v9M=",0)</f>
        <v>0</v>
      </c>
      <c r="HE5" t="e">
        <f>AND(Proyecto!A10,"AAAAAHe3v9Q=")</f>
        <v>#VALUE!</v>
      </c>
      <c r="HF5" t="e">
        <f>AND(Proyecto!B10,"AAAAAHe3v9U=")</f>
        <v>#VALUE!</v>
      </c>
      <c r="HG5" t="e">
        <f>AND(Proyecto!C10,"AAAAAHe3v9Y=")</f>
        <v>#VALUE!</v>
      </c>
      <c r="HH5" t="e">
        <f>AND(Proyecto!D10,"AAAAAHe3v9c=")</f>
        <v>#VALUE!</v>
      </c>
      <c r="HI5">
        <f>IF(Proyecto!11:11,"AAAAAHe3v9g=",0)</f>
        <v>0</v>
      </c>
      <c r="HJ5" t="e">
        <f>AND(Proyecto!A11,"AAAAAHe3v9k=")</f>
        <v>#VALUE!</v>
      </c>
      <c r="HK5" t="e">
        <f>AND(Proyecto!B11,"AAAAAHe3v9o=")</f>
        <v>#VALUE!</v>
      </c>
      <c r="HL5" t="e">
        <f>AND(Proyecto!C11,"AAAAAHe3v9s=")</f>
        <v>#VALUE!</v>
      </c>
      <c r="HM5" t="e">
        <f>AND(Proyecto!D11,"AAAAAHe3v9w=")</f>
        <v>#VALUE!</v>
      </c>
      <c r="HN5">
        <f>IF(Proyecto!12:12,"AAAAAHe3v90=",0)</f>
        <v>0</v>
      </c>
      <c r="HO5" t="e">
        <f>AND(Proyecto!A12,"AAAAAHe3v94=")</f>
        <v>#VALUE!</v>
      </c>
      <c r="HP5" t="e">
        <f>AND(Proyecto!B12,"AAAAAHe3v98=")</f>
        <v>#VALUE!</v>
      </c>
      <c r="HQ5" t="e">
        <f>AND(Proyecto!C12,"AAAAAHe3v+A=")</f>
        <v>#VALUE!</v>
      </c>
      <c r="HR5" t="e">
        <f>AND(Proyecto!D12,"AAAAAHe3v+E=")</f>
        <v>#VALUE!</v>
      </c>
      <c r="HS5">
        <f>IF(Proyecto!13:13,"AAAAAHe3v+I=",0)</f>
        <v>0</v>
      </c>
      <c r="HT5" t="e">
        <f>AND(Proyecto!A13,"AAAAAHe3v+M=")</f>
        <v>#VALUE!</v>
      </c>
      <c r="HU5" t="e">
        <f>AND(Proyecto!B13,"AAAAAHe3v+Q=")</f>
        <v>#VALUE!</v>
      </c>
      <c r="HV5" t="e">
        <f>AND(Proyecto!C13,"AAAAAHe3v+U=")</f>
        <v>#VALUE!</v>
      </c>
      <c r="HW5" t="e">
        <f>AND(Proyecto!D13,"AAAAAHe3v+Y=")</f>
        <v>#VALUE!</v>
      </c>
      <c r="HX5">
        <f>IF(Proyecto!14:14,"AAAAAHe3v+c=",0)</f>
        <v>0</v>
      </c>
      <c r="HY5" t="e">
        <f>AND(Proyecto!A14,"AAAAAHe3v+g=")</f>
        <v>#VALUE!</v>
      </c>
      <c r="HZ5" t="e">
        <f>AND(Proyecto!B14,"AAAAAHe3v+k=")</f>
        <v>#VALUE!</v>
      </c>
      <c r="IA5" t="e">
        <f>AND(Proyecto!C14,"AAAAAHe3v+o=")</f>
        <v>#VALUE!</v>
      </c>
      <c r="IB5" t="e">
        <f>AND(Proyecto!D14,"AAAAAHe3v+s=")</f>
        <v>#VALUE!</v>
      </c>
      <c r="IC5">
        <f>IF(Proyecto!15:15,"AAAAAHe3v+w=",0)</f>
        <v>0</v>
      </c>
      <c r="ID5" t="e">
        <f>AND(Proyecto!A15,"AAAAAHe3v+0=")</f>
        <v>#VALUE!</v>
      </c>
      <c r="IE5" t="e">
        <f>AND(Proyecto!B15,"AAAAAHe3v+4=")</f>
        <v>#VALUE!</v>
      </c>
      <c r="IF5" t="e">
        <f>AND(Proyecto!C15,"AAAAAHe3v+8=")</f>
        <v>#VALUE!</v>
      </c>
      <c r="IG5" t="e">
        <f>AND(Proyecto!D15,"AAAAAHe3v/A=")</f>
        <v>#VALUE!</v>
      </c>
      <c r="IH5">
        <f>IF(Proyecto!16:16,"AAAAAHe3v/E=",0)</f>
        <v>0</v>
      </c>
      <c r="II5" t="e">
        <f>AND(Proyecto!A16,"AAAAAHe3v/I=")</f>
        <v>#VALUE!</v>
      </c>
      <c r="IJ5" t="e">
        <f>AND(Proyecto!B16,"AAAAAHe3v/M=")</f>
        <v>#VALUE!</v>
      </c>
      <c r="IK5" t="e">
        <f>AND(Proyecto!C16,"AAAAAHe3v/Q=")</f>
        <v>#VALUE!</v>
      </c>
      <c r="IL5" t="e">
        <f>AND(Proyecto!D16,"AAAAAHe3v/U=")</f>
        <v>#VALUE!</v>
      </c>
      <c r="IM5">
        <f>IF(Proyecto!17:17,"AAAAAHe3v/Y=",0)</f>
        <v>0</v>
      </c>
      <c r="IN5" t="e">
        <f>AND(Proyecto!A17,"AAAAAHe3v/c=")</f>
        <v>#VALUE!</v>
      </c>
      <c r="IO5" t="e">
        <f>AND(Proyecto!B17,"AAAAAHe3v/g=")</f>
        <v>#VALUE!</v>
      </c>
      <c r="IP5" t="e">
        <f>AND(Proyecto!C17,"AAAAAHe3v/k=")</f>
        <v>#VALUE!</v>
      </c>
      <c r="IQ5" t="e">
        <f>AND(Proyecto!D17,"AAAAAHe3v/o=")</f>
        <v>#VALUE!</v>
      </c>
      <c r="IR5">
        <f>IF(Proyecto!18:18,"AAAAAHe3v/s=",0)</f>
        <v>0</v>
      </c>
      <c r="IS5" t="e">
        <f>AND(Proyecto!A18,"AAAAAHe3v/w=")</f>
        <v>#VALUE!</v>
      </c>
      <c r="IT5" t="e">
        <f>AND(Proyecto!B18,"AAAAAHe3v/0=")</f>
        <v>#VALUE!</v>
      </c>
      <c r="IU5" t="e">
        <f>AND(Proyecto!C18,"AAAAAHe3v/4=")</f>
        <v>#VALUE!</v>
      </c>
      <c r="IV5" t="e">
        <f>AND(Proyecto!D18,"AAAAAHe3v/8=")</f>
        <v>#VALUE!</v>
      </c>
    </row>
    <row r="6" spans="1:67" ht="12.75">
      <c r="A6" t="e">
        <f>IF(Proyecto!19:19,"AAAAAEnxtAA=",0)</f>
        <v>#VALUE!</v>
      </c>
      <c r="B6" t="e">
        <f>AND(Proyecto!A19,"AAAAAEnxtAE=")</f>
        <v>#VALUE!</v>
      </c>
      <c r="C6" t="e">
        <f>AND(Proyecto!B19,"AAAAAEnxtAI=")</f>
        <v>#VALUE!</v>
      </c>
      <c r="D6" t="e">
        <f>AND(Proyecto!C19,"AAAAAEnxtAM=")</f>
        <v>#VALUE!</v>
      </c>
      <c r="E6" t="e">
        <f>AND(Proyecto!D19,"AAAAAEnxtAQ=")</f>
        <v>#VALUE!</v>
      </c>
      <c r="F6">
        <f>IF(Proyecto!20:20,"AAAAAEnxtAU=",0)</f>
        <v>0</v>
      </c>
      <c r="G6" t="e">
        <f>AND(Proyecto!A20,"AAAAAEnxtAY=")</f>
        <v>#VALUE!</v>
      </c>
      <c r="H6" t="e">
        <f>AND(Proyecto!B20,"AAAAAEnxtAc=")</f>
        <v>#VALUE!</v>
      </c>
      <c r="I6" t="e">
        <f>AND(Proyecto!C20,"AAAAAEnxtAg=")</f>
        <v>#VALUE!</v>
      </c>
      <c r="J6" t="e">
        <f>AND(Proyecto!D20,"AAAAAEnxtAk=")</f>
        <v>#VALUE!</v>
      </c>
      <c r="K6">
        <f>IF(Proyecto!21:21,"AAAAAEnxtAo=",0)</f>
        <v>0</v>
      </c>
      <c r="L6" t="e">
        <f>AND(Proyecto!A21,"AAAAAEnxtAs=")</f>
        <v>#VALUE!</v>
      </c>
      <c r="M6" t="e">
        <f>AND(Proyecto!B21,"AAAAAEnxtAw=")</f>
        <v>#VALUE!</v>
      </c>
      <c r="N6" t="e">
        <f>AND(Proyecto!C21,"AAAAAEnxtA0=")</f>
        <v>#VALUE!</v>
      </c>
      <c r="O6" t="e">
        <f>AND(Proyecto!D21,"AAAAAEnxtA4=")</f>
        <v>#VALUE!</v>
      </c>
      <c r="P6">
        <f>IF(Proyecto!22:22,"AAAAAEnxtA8=",0)</f>
        <v>0</v>
      </c>
      <c r="Q6" t="e">
        <f>AND(Proyecto!A22,"AAAAAEnxtBA=")</f>
        <v>#VALUE!</v>
      </c>
      <c r="R6" t="e">
        <f>AND(Proyecto!B22,"AAAAAEnxtBE=")</f>
        <v>#VALUE!</v>
      </c>
      <c r="S6" t="e">
        <f>AND(Proyecto!C22,"AAAAAEnxtBI=")</f>
        <v>#VALUE!</v>
      </c>
      <c r="T6" t="e">
        <f>AND(Proyecto!D22,"AAAAAEnxtBM=")</f>
        <v>#VALUE!</v>
      </c>
      <c r="U6">
        <f>IF(Proyecto!23:23,"AAAAAEnxtBQ=",0)</f>
        <v>0</v>
      </c>
      <c r="V6" t="e">
        <f>AND(Proyecto!A23,"AAAAAEnxtBU=")</f>
        <v>#VALUE!</v>
      </c>
      <c r="W6" t="e">
        <f>AND(Proyecto!B23,"AAAAAEnxtBY=")</f>
        <v>#VALUE!</v>
      </c>
      <c r="X6" t="e">
        <f>AND(Proyecto!C23,"AAAAAEnxtBc=")</f>
        <v>#VALUE!</v>
      </c>
      <c r="Y6" t="e">
        <f>AND(Proyecto!D23,"AAAAAEnxtBg=")</f>
        <v>#VALUE!</v>
      </c>
      <c r="Z6">
        <f>IF(Proyecto!24:24,"AAAAAEnxtBk=",0)</f>
        <v>0</v>
      </c>
      <c r="AA6" t="e">
        <f>AND(Proyecto!A24,"AAAAAEnxtBo=")</f>
        <v>#VALUE!</v>
      </c>
      <c r="AB6" t="e">
        <f>AND(Proyecto!B24,"AAAAAEnxtBs=")</f>
        <v>#VALUE!</v>
      </c>
      <c r="AC6" t="e">
        <f>AND(Proyecto!C24,"AAAAAEnxtBw=")</f>
        <v>#VALUE!</v>
      </c>
      <c r="AD6" t="e">
        <f>AND(Proyecto!D24,"AAAAAEnxtB0=")</f>
        <v>#VALUE!</v>
      </c>
      <c r="AE6">
        <f>IF(Proyecto!25:25,"AAAAAEnxtB4=",0)</f>
        <v>0</v>
      </c>
      <c r="AF6" t="e">
        <f>AND(Proyecto!A25,"AAAAAEnxtB8=")</f>
        <v>#VALUE!</v>
      </c>
      <c r="AG6" t="e">
        <f>AND(Proyecto!B25,"AAAAAEnxtCA=")</f>
        <v>#VALUE!</v>
      </c>
      <c r="AH6" t="e">
        <f>AND(Proyecto!C25,"AAAAAEnxtCE=")</f>
        <v>#VALUE!</v>
      </c>
      <c r="AI6" t="e">
        <f>AND(Proyecto!D25,"AAAAAEnxtCI=")</f>
        <v>#VALUE!</v>
      </c>
      <c r="AJ6">
        <f>IF(Proyecto!26:26,"AAAAAEnxtCM=",0)</f>
        <v>0</v>
      </c>
      <c r="AK6" t="e">
        <f>AND(Proyecto!A26,"AAAAAEnxtCQ=")</f>
        <v>#VALUE!</v>
      </c>
      <c r="AL6" t="e">
        <f>AND(Proyecto!B26,"AAAAAEnxtCU=")</f>
        <v>#VALUE!</v>
      </c>
      <c r="AM6" t="e">
        <f>AND(Proyecto!C26,"AAAAAEnxtCY=")</f>
        <v>#VALUE!</v>
      </c>
      <c r="AN6" t="e">
        <f>AND(Proyecto!D26,"AAAAAEnxtCc=")</f>
        <v>#VALUE!</v>
      </c>
      <c r="AO6">
        <f>IF(Proyecto!27:27,"AAAAAEnxtCg=",0)</f>
        <v>0</v>
      </c>
      <c r="AP6" t="e">
        <f>AND(Proyecto!A27,"AAAAAEnxtCk=")</f>
        <v>#VALUE!</v>
      </c>
      <c r="AQ6" t="e">
        <f>AND(Proyecto!B27,"AAAAAEnxtCo=")</f>
        <v>#VALUE!</v>
      </c>
      <c r="AR6" t="e">
        <f>AND(Proyecto!C27,"AAAAAEnxtCs=")</f>
        <v>#VALUE!</v>
      </c>
      <c r="AS6" t="e">
        <f>AND(Proyecto!D27,"AAAAAEnxtCw=")</f>
        <v>#VALUE!</v>
      </c>
      <c r="AT6">
        <f>IF(Proyecto!28:28,"AAAAAEnxtC0=",0)</f>
        <v>0</v>
      </c>
      <c r="AU6" t="e">
        <f>AND(Proyecto!A28,"AAAAAEnxtC4=")</f>
        <v>#VALUE!</v>
      </c>
      <c r="AV6" t="e">
        <f>AND(Proyecto!B28,"AAAAAEnxtC8=")</f>
        <v>#VALUE!</v>
      </c>
      <c r="AW6" t="e">
        <f>AND(Proyecto!C28,"AAAAAEnxtDA=")</f>
        <v>#VALUE!</v>
      </c>
      <c r="AX6" t="e">
        <f>AND(Proyecto!D28,"AAAAAEnxtDE=")</f>
        <v>#VALUE!</v>
      </c>
      <c r="AY6">
        <f>IF(Proyecto!29:29,"AAAAAEnxtDI=",0)</f>
        <v>0</v>
      </c>
      <c r="AZ6" t="e">
        <f>AND(Proyecto!A29,"AAAAAEnxtDM=")</f>
        <v>#VALUE!</v>
      </c>
      <c r="BA6" t="e">
        <f>AND(Proyecto!B29,"AAAAAEnxtDQ=")</f>
        <v>#VALUE!</v>
      </c>
      <c r="BB6" t="e">
        <f>AND(Proyecto!C29,"AAAAAEnxtDU=")</f>
        <v>#VALUE!</v>
      </c>
      <c r="BC6" t="e">
        <f>AND(Proyecto!D29,"AAAAAEnxtDY=")</f>
        <v>#VALUE!</v>
      </c>
      <c r="BD6" t="e">
        <f>IF(Proyecto!A:A,"AAAAAEnxtDc=",0)</f>
        <v>#VALUE!</v>
      </c>
      <c r="BE6">
        <f>IF(Proyecto!B:B,"AAAAAEnxtDg=",0)</f>
        <v>0</v>
      </c>
      <c r="BF6">
        <f>IF(Proyecto!C:C,"AAAAAEnxtDk=",0)</f>
        <v>0</v>
      </c>
      <c r="BG6">
        <f>IF(Proyecto!D:D,"AAAAAEnxtDo=",0)</f>
        <v>0</v>
      </c>
      <c r="BH6">
        <f>IF(Proyecto!E:E,"AAAAAEnxtDs=",0)</f>
        <v>0</v>
      </c>
      <c r="BI6">
        <f>IF(Proyecto!F:F,"AAAAAEnxtDw=",0)</f>
        <v>0</v>
      </c>
      <c r="BJ6">
        <f>IF(Proyecto!G:G,"AAAAAEnxtD0=",0)</f>
        <v>0</v>
      </c>
      <c r="BK6">
        <f>IF(Proyecto!H:H,"AAAAAEnxtD4=",0)</f>
        <v>0</v>
      </c>
      <c r="BL6">
        <f>IF(Proyecto!I:I,"AAAAAEnxtD8=",0)</f>
        <v>0</v>
      </c>
      <c r="BM6">
        <f>IF(Proyecto!J:J,"AAAAAEnxtEA=",0)</f>
        <v>0</v>
      </c>
      <c r="BN6" t="s">
        <v>63</v>
      </c>
      <c r="BO6" t="e">
        <f>IF("N",Excel_BuiltIn__FilterDatabase,"AAAAAEnxtEI=")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Daviana</dc:creator>
  <cp:keywords/>
  <dc:description/>
  <cp:lastModifiedBy>kryscia</cp:lastModifiedBy>
  <dcterms:created xsi:type="dcterms:W3CDTF">2011-08-10T14:59:08Z</dcterms:created>
  <dcterms:modified xsi:type="dcterms:W3CDTF">2011-11-29T01:52:11Z</dcterms:modified>
  <cp:category/>
  <cp:version/>
  <cp:contentType/>
  <cp:contentStatus/>
  <cp:revision>2</cp:revision>
</cp:coreProperties>
</file>